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tbondagency.sharepoint.com/sites/VMBB/Shared Documents/Bond Bank/Presentations/2024/VRWA Training/"/>
    </mc:Choice>
  </mc:AlternateContent>
  <xr:revisionPtr revIDLastSave="2" documentId="8_{87E4E438-E9F1-46DF-906B-5456E7829F9E}" xr6:coauthVersionLast="47" xr6:coauthVersionMax="47" xr10:uidLastSave="{ACC74A3B-9716-475F-A44D-56F531B560F1}"/>
  <bookViews>
    <workbookView xWindow="28680" yWindow="-120" windowWidth="29040" windowHeight="15840" activeTab="3" xr2:uid="{B829D3C5-AA7E-4326-AD83-7D00E3230712}"/>
  </bookViews>
  <sheets>
    <sheet name="Notes" sheetId="5" r:id="rId1"/>
    <sheet name="Financial Projection" sheetId="1" r:id="rId2"/>
    <sheet name="Debt Profile" sheetId="2" r:id="rId3"/>
    <sheet name="Capital Budget Projection" sheetId="3" r:id="rId4"/>
    <sheet name="Visualizations" sheetId="4" r:id="rId5"/>
  </sheets>
  <definedNames>
    <definedName name="_xlnm.Print_Area" localSheetId="1">'Financial Projection'!$C$7:$U$82</definedName>
    <definedName name="_xlnm.Print_Titles" localSheetId="1">'Financial Projection'!$3:$6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J25" i="3"/>
  <c r="C92" i="1"/>
  <c r="C93" i="1" s="1"/>
  <c r="C94" i="1" s="1"/>
  <c r="C95" i="1" s="1"/>
  <c r="K33" i="1"/>
  <c r="U56" i="1"/>
  <c r="J41" i="1"/>
  <c r="K41" i="1" s="1"/>
  <c r="L41" i="1" s="1"/>
  <c r="M41" i="1" s="1"/>
  <c r="J32" i="1"/>
  <c r="K32" i="1" s="1"/>
  <c r="L32" i="1" s="1"/>
  <c r="M32" i="1" s="1"/>
  <c r="J21" i="1"/>
  <c r="N17" i="2"/>
  <c r="O17" i="2"/>
  <c r="P17" i="2"/>
  <c r="P23" i="2"/>
  <c r="M17" i="2"/>
  <c r="B22" i="3"/>
  <c r="B23" i="3"/>
  <c r="B24" i="3" s="1"/>
  <c r="B25" i="3" s="1"/>
  <c r="B26" i="3" s="1"/>
  <c r="T11" i="3"/>
  <c r="K6" i="1"/>
  <c r="L6" i="1" s="1"/>
  <c r="M6" i="1" s="1"/>
  <c r="N6" i="1" s="1"/>
  <c r="O6" i="1" s="1"/>
  <c r="P6" i="1" s="1"/>
  <c r="Q6" i="1" s="1"/>
  <c r="R6" i="1" s="1"/>
  <c r="S6" i="1" s="1"/>
  <c r="I7" i="3"/>
  <c r="J7" i="3" s="1"/>
  <c r="B16" i="2"/>
  <c r="M16" i="2" s="1"/>
  <c r="H67" i="1"/>
  <c r="U47" i="1"/>
  <c r="U48" i="1"/>
  <c r="U49" i="1"/>
  <c r="J46" i="1"/>
  <c r="K40" i="1"/>
  <c r="L40" i="1" s="1"/>
  <c r="M40" i="1" s="1"/>
  <c r="N40" i="1" s="1"/>
  <c r="O40" i="1" s="1"/>
  <c r="P40" i="1" s="1"/>
  <c r="Q40" i="1" s="1"/>
  <c r="R40" i="1" s="1"/>
  <c r="S40" i="1" s="1"/>
  <c r="K39" i="1"/>
  <c r="L39" i="1" s="1"/>
  <c r="M39" i="1" s="1"/>
  <c r="N39" i="1" s="1"/>
  <c r="O39" i="1" s="1"/>
  <c r="P39" i="1" s="1"/>
  <c r="Q39" i="1" s="1"/>
  <c r="R39" i="1" s="1"/>
  <c r="S39" i="1" s="1"/>
  <c r="K38" i="1"/>
  <c r="L38" i="1" s="1"/>
  <c r="M38" i="1" s="1"/>
  <c r="N38" i="1" s="1"/>
  <c r="O38" i="1" s="1"/>
  <c r="P38" i="1" s="1"/>
  <c r="Q38" i="1" s="1"/>
  <c r="R38" i="1" s="1"/>
  <c r="S38" i="1" s="1"/>
  <c r="K37" i="1"/>
  <c r="L37" i="1" s="1"/>
  <c r="M37" i="1" s="1"/>
  <c r="N37" i="1" s="1"/>
  <c r="O37" i="1" s="1"/>
  <c r="P37" i="1" s="1"/>
  <c r="Q37" i="1" s="1"/>
  <c r="R37" i="1" s="1"/>
  <c r="S37" i="1" s="1"/>
  <c r="K36" i="1"/>
  <c r="L36" i="1" s="1"/>
  <c r="M36" i="1" s="1"/>
  <c r="N36" i="1" s="1"/>
  <c r="O36" i="1" s="1"/>
  <c r="P36" i="1" s="1"/>
  <c r="Q36" i="1" s="1"/>
  <c r="R36" i="1" s="1"/>
  <c r="S36" i="1" s="1"/>
  <c r="K35" i="1"/>
  <c r="L35" i="1" s="1"/>
  <c r="M35" i="1" s="1"/>
  <c r="N35" i="1" s="1"/>
  <c r="O35" i="1" s="1"/>
  <c r="P35" i="1" s="1"/>
  <c r="Q35" i="1" s="1"/>
  <c r="R35" i="1" s="1"/>
  <c r="S35" i="1" s="1"/>
  <c r="K34" i="1"/>
  <c r="L34" i="1" s="1"/>
  <c r="M34" i="1" s="1"/>
  <c r="N34" i="1" s="1"/>
  <c r="O34" i="1" s="1"/>
  <c r="P34" i="1" s="1"/>
  <c r="Q34" i="1" s="1"/>
  <c r="R34" i="1" s="1"/>
  <c r="S34" i="1" s="1"/>
  <c r="K31" i="1"/>
  <c r="L31" i="1" s="1"/>
  <c r="M31" i="1" s="1"/>
  <c r="N31" i="1" s="1"/>
  <c r="O31" i="1" s="1"/>
  <c r="P31" i="1" s="1"/>
  <c r="Q31" i="1" s="1"/>
  <c r="R31" i="1" s="1"/>
  <c r="S31" i="1" s="1"/>
  <c r="K30" i="1"/>
  <c r="L30" i="1" s="1"/>
  <c r="M30" i="1" s="1"/>
  <c r="N30" i="1" s="1"/>
  <c r="O30" i="1" s="1"/>
  <c r="P30" i="1" s="1"/>
  <c r="Q30" i="1" s="1"/>
  <c r="R30" i="1" s="1"/>
  <c r="S30" i="1" s="1"/>
  <c r="K29" i="1"/>
  <c r="L29" i="1" s="1"/>
  <c r="K25" i="1"/>
  <c r="L25" i="1" s="1"/>
  <c r="M25" i="1" s="1"/>
  <c r="N25" i="1" s="1"/>
  <c r="O25" i="1" s="1"/>
  <c r="P25" i="1" s="1"/>
  <c r="Q25" i="1" s="1"/>
  <c r="R25" i="1" s="1"/>
  <c r="S25" i="1" s="1"/>
  <c r="K23" i="1"/>
  <c r="L23" i="1" s="1"/>
  <c r="M23" i="1" s="1"/>
  <c r="N23" i="1" s="1"/>
  <c r="O23" i="1" s="1"/>
  <c r="P23" i="1" s="1"/>
  <c r="Q23" i="1" s="1"/>
  <c r="R23" i="1" s="1"/>
  <c r="S23" i="1" s="1"/>
  <c r="K17" i="1"/>
  <c r="L17" i="1" s="1"/>
  <c r="K16" i="1"/>
  <c r="L16" i="1" s="1"/>
  <c r="K15" i="1"/>
  <c r="L15" i="1" s="1"/>
  <c r="K9" i="1"/>
  <c r="L9" i="1" s="1"/>
  <c r="M9" i="1" s="1"/>
  <c r="K17" i="2"/>
  <c r="K18" i="2"/>
  <c r="K19" i="2"/>
  <c r="K20" i="2"/>
  <c r="K21" i="2"/>
  <c r="K22" i="2"/>
  <c r="K23" i="2"/>
  <c r="K24" i="2"/>
  <c r="K25" i="2"/>
  <c r="K16" i="2"/>
  <c r="N7" i="2"/>
  <c r="O7" i="2" s="1"/>
  <c r="P7" i="2" s="1"/>
  <c r="D7" i="2"/>
  <c r="E7" i="2" s="1"/>
  <c r="F7" i="2" s="1"/>
  <c r="G7" i="2" s="1"/>
  <c r="H7" i="2" s="1"/>
  <c r="I7" i="2" s="1"/>
  <c r="J7" i="2" s="1"/>
  <c r="B18" i="2"/>
  <c r="B19" i="2" s="1"/>
  <c r="B20" i="2" s="1"/>
  <c r="B21" i="2" s="1"/>
  <c r="B22" i="2" s="1"/>
  <c r="B23" i="2" s="1"/>
  <c r="B24" i="2" s="1"/>
  <c r="B25" i="2" s="1"/>
  <c r="N25" i="2" s="1"/>
  <c r="T19" i="3"/>
  <c r="T18" i="3"/>
  <c r="T12" i="3"/>
  <c r="T10" i="3"/>
  <c r="J17" i="3"/>
  <c r="J20" i="3" s="1"/>
  <c r="K17" i="3"/>
  <c r="K20" i="3" s="1"/>
  <c r="L17" i="3"/>
  <c r="L20" i="3" s="1"/>
  <c r="L22" i="3" s="1"/>
  <c r="M17" i="3"/>
  <c r="M20" i="3" s="1"/>
  <c r="M22" i="3" s="1"/>
  <c r="N17" i="3"/>
  <c r="N20" i="3" s="1"/>
  <c r="O17" i="3"/>
  <c r="O20" i="3" s="1"/>
  <c r="P17" i="3"/>
  <c r="P20" i="3" s="1"/>
  <c r="Q17" i="3"/>
  <c r="Q20" i="3" s="1"/>
  <c r="R17" i="3"/>
  <c r="R20" i="3" s="1"/>
  <c r="R22" i="3" s="1"/>
  <c r="I17" i="3"/>
  <c r="I20" i="3" s="1"/>
  <c r="R14" i="3"/>
  <c r="Q14" i="3"/>
  <c r="P14" i="3"/>
  <c r="O14" i="3"/>
  <c r="N14" i="3"/>
  <c r="M14" i="3"/>
  <c r="L14" i="3"/>
  <c r="K14" i="3"/>
  <c r="J14" i="3"/>
  <c r="I1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J2" i="3"/>
  <c r="K2" i="3" s="1"/>
  <c r="L2" i="3" s="1"/>
  <c r="M2" i="3" s="1"/>
  <c r="N2" i="3" s="1"/>
  <c r="O2" i="3" s="1"/>
  <c r="P2" i="3" s="1"/>
  <c r="Q2" i="3" s="1"/>
  <c r="R2" i="3" s="1"/>
  <c r="J11" i="1"/>
  <c r="U10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K1" i="1"/>
  <c r="N23" i="2" l="1"/>
  <c r="M18" i="2"/>
  <c r="O21" i="2"/>
  <c r="M24" i="2"/>
  <c r="M20" i="2"/>
  <c r="P20" i="2"/>
  <c r="P25" i="2"/>
  <c r="N20" i="2"/>
  <c r="M19" i="2"/>
  <c r="P21" i="2"/>
  <c r="O24" i="2"/>
  <c r="P18" i="2"/>
  <c r="N24" i="2"/>
  <c r="M21" i="2"/>
  <c r="P24" i="2"/>
  <c r="N22" i="2"/>
  <c r="N19" i="2"/>
  <c r="O18" i="2"/>
  <c r="N18" i="2"/>
  <c r="Q18" i="2" s="1"/>
  <c r="S18" i="2" s="1"/>
  <c r="L54" i="1" s="1"/>
  <c r="M25" i="2"/>
  <c r="O23" i="2"/>
  <c r="O20" i="2"/>
  <c r="M23" i="2"/>
  <c r="O25" i="2"/>
  <c r="P22" i="2"/>
  <c r="P19" i="2"/>
  <c r="M22" i="2"/>
  <c r="O22" i="2"/>
  <c r="O19" i="2"/>
  <c r="N21" i="2"/>
  <c r="O22" i="3"/>
  <c r="L33" i="1"/>
  <c r="M33" i="1" s="1"/>
  <c r="N33" i="1" s="1"/>
  <c r="O33" i="1" s="1"/>
  <c r="P33" i="1" s="1"/>
  <c r="Q33" i="1" s="1"/>
  <c r="R33" i="1" s="1"/>
  <c r="S33" i="1" s="1"/>
  <c r="U33" i="1"/>
  <c r="I22" i="3"/>
  <c r="L21" i="1"/>
  <c r="P22" i="3"/>
  <c r="K21" i="1"/>
  <c r="Q22" i="3"/>
  <c r="K22" i="3"/>
  <c r="J42" i="1"/>
  <c r="N22" i="3"/>
  <c r="P16" i="2"/>
  <c r="O16" i="2"/>
  <c r="N16" i="2"/>
  <c r="J22" i="1"/>
  <c r="K46" i="1"/>
  <c r="J22" i="3"/>
  <c r="J26" i="3"/>
  <c r="K7" i="3"/>
  <c r="L7" i="3" s="1"/>
  <c r="M7" i="3" s="1"/>
  <c r="N7" i="3" s="1"/>
  <c r="O7" i="3" s="1"/>
  <c r="P7" i="3" s="1"/>
  <c r="Q7" i="3" s="1"/>
  <c r="R7" i="3" s="1"/>
  <c r="M16" i="1"/>
  <c r="L46" i="1"/>
  <c r="M17" i="1"/>
  <c r="M15" i="1"/>
  <c r="M21" i="1" s="1"/>
  <c r="M29" i="1"/>
  <c r="M42" i="1" s="1"/>
  <c r="L42" i="1"/>
  <c r="Q17" i="2"/>
  <c r="S17" i="2" s="1"/>
  <c r="K54" i="1" s="1"/>
  <c r="J50" i="1"/>
  <c r="N41" i="1"/>
  <c r="N32" i="1"/>
  <c r="O32" i="1" s="1"/>
  <c r="P32" i="1" s="1"/>
  <c r="Q32" i="1" s="1"/>
  <c r="R32" i="1" s="1"/>
  <c r="S32" i="1" s="1"/>
  <c r="U35" i="1"/>
  <c r="U31" i="1"/>
  <c r="U39" i="1"/>
  <c r="J24" i="1"/>
  <c r="J26" i="1" s="1"/>
  <c r="J95" i="1" s="1"/>
  <c r="K11" i="1"/>
  <c r="T14" i="3"/>
  <c r="T13" i="3"/>
  <c r="T20" i="3"/>
  <c r="N9" i="1"/>
  <c r="M11" i="1"/>
  <c r="L11" i="1"/>
  <c r="T17" i="3"/>
  <c r="Q20" i="2"/>
  <c r="S20" i="2" s="1"/>
  <c r="N54" i="1" s="1"/>
  <c r="U37" i="1"/>
  <c r="U40" i="1"/>
  <c r="U38" i="1"/>
  <c r="U36" i="1"/>
  <c r="U34" i="1"/>
  <c r="U30" i="1"/>
  <c r="L1" i="1"/>
  <c r="Q23" i="2" l="1"/>
  <c r="S23" i="2" s="1"/>
  <c r="Q54" i="1" s="1"/>
  <c r="O41" i="1"/>
  <c r="P41" i="1" s="1"/>
  <c r="Q41" i="1" s="1"/>
  <c r="R41" i="1" s="1"/>
  <c r="S41" i="1" s="1"/>
  <c r="J52" i="1"/>
  <c r="K26" i="3"/>
  <c r="N29" i="1"/>
  <c r="L26" i="3"/>
  <c r="M46" i="1"/>
  <c r="N17" i="1"/>
  <c r="N16" i="1"/>
  <c r="M22" i="1"/>
  <c r="N15" i="1"/>
  <c r="N21" i="1" s="1"/>
  <c r="L22" i="1"/>
  <c r="L24" i="1" s="1"/>
  <c r="K22" i="1"/>
  <c r="K24" i="1" s="1"/>
  <c r="K63" i="1" s="1"/>
  <c r="Q16" i="2"/>
  <c r="S16" i="2" s="1"/>
  <c r="N42" i="1"/>
  <c r="O29" i="1"/>
  <c r="U32" i="1"/>
  <c r="N11" i="1"/>
  <c r="O9" i="1"/>
  <c r="Q21" i="2"/>
  <c r="S21" i="2" s="1"/>
  <c r="O54" i="1" s="1"/>
  <c r="Q24" i="2"/>
  <c r="S24" i="2" s="1"/>
  <c r="R54" i="1" s="1"/>
  <c r="Q19" i="2"/>
  <c r="S19" i="2" s="1"/>
  <c r="M54" i="1" s="1"/>
  <c r="M1" i="1"/>
  <c r="J68" i="1"/>
  <c r="U41" i="1" l="1"/>
  <c r="J54" i="1"/>
  <c r="L63" i="1"/>
  <c r="M26" i="3"/>
  <c r="K26" i="1"/>
  <c r="O16" i="1"/>
  <c r="N22" i="1"/>
  <c r="M24" i="1"/>
  <c r="O17" i="1"/>
  <c r="N46" i="1"/>
  <c r="O15" i="1"/>
  <c r="O21" i="1" s="1"/>
  <c r="P29" i="1"/>
  <c r="O42" i="1"/>
  <c r="P9" i="1"/>
  <c r="O11" i="1"/>
  <c r="Q25" i="2"/>
  <c r="S25" i="2" s="1"/>
  <c r="S54" i="1" s="1"/>
  <c r="Q22" i="2"/>
  <c r="S22" i="2" s="1"/>
  <c r="P54" i="1" s="1"/>
  <c r="J79" i="1"/>
  <c r="J70" i="1"/>
  <c r="K67" i="1"/>
  <c r="L26" i="1"/>
  <c r="J76" i="1"/>
  <c r="J80" i="1" s="1"/>
  <c r="N1" i="1"/>
  <c r="U54" i="1" l="1"/>
  <c r="J55" i="1"/>
  <c r="J87" i="1"/>
  <c r="M63" i="1"/>
  <c r="N26" i="3"/>
  <c r="O46" i="1"/>
  <c r="P17" i="1"/>
  <c r="P16" i="1"/>
  <c r="O22" i="1"/>
  <c r="N24" i="1"/>
  <c r="P15" i="1"/>
  <c r="P21" i="1" s="1"/>
  <c r="P42" i="1"/>
  <c r="Q29" i="1"/>
  <c r="Q9" i="1"/>
  <c r="P11" i="1"/>
  <c r="J86" i="1"/>
  <c r="J88" i="1"/>
  <c r="O1" i="1"/>
  <c r="K42" i="1"/>
  <c r="M26" i="1"/>
  <c r="K76" i="1"/>
  <c r="J57" i="1" l="1"/>
  <c r="N63" i="1"/>
  <c r="O24" i="1"/>
  <c r="O26" i="3"/>
  <c r="Q15" i="1"/>
  <c r="Q21" i="1" s="1"/>
  <c r="Q16" i="1"/>
  <c r="P22" i="1"/>
  <c r="Q17" i="1"/>
  <c r="P46" i="1"/>
  <c r="R29" i="1"/>
  <c r="Q42" i="1"/>
  <c r="Q11" i="1"/>
  <c r="R9" i="1"/>
  <c r="M67" i="1"/>
  <c r="L67" i="1"/>
  <c r="L76" i="1"/>
  <c r="P1" i="1"/>
  <c r="N26" i="1"/>
  <c r="O63" i="1" l="1"/>
  <c r="P26" i="3"/>
  <c r="R17" i="1"/>
  <c r="Q46" i="1"/>
  <c r="R16" i="1"/>
  <c r="Q22" i="1"/>
  <c r="P24" i="1"/>
  <c r="P63" i="1" s="1"/>
  <c r="R15" i="1"/>
  <c r="R21" i="1" s="1"/>
  <c r="R42" i="1"/>
  <c r="S29" i="1"/>
  <c r="S42" i="1" s="1"/>
  <c r="R11" i="1"/>
  <c r="S9" i="1"/>
  <c r="S11" i="1" s="1"/>
  <c r="N67" i="1"/>
  <c r="Q1" i="1"/>
  <c r="O26" i="1"/>
  <c r="M76" i="1"/>
  <c r="Q24" i="1" l="1"/>
  <c r="Q63" i="1" s="1"/>
  <c r="R26" i="3"/>
  <c r="Q26" i="3"/>
  <c r="S15" i="1"/>
  <c r="S21" i="1" s="1"/>
  <c r="S16" i="1"/>
  <c r="S22" i="1" s="1"/>
  <c r="R22" i="1"/>
  <c r="S17" i="1"/>
  <c r="R46" i="1"/>
  <c r="U9" i="1"/>
  <c r="U11" i="1"/>
  <c r="O67" i="1"/>
  <c r="R1" i="1"/>
  <c r="N76" i="1"/>
  <c r="P26" i="1"/>
  <c r="J81" i="1"/>
  <c r="U15" i="1" l="1"/>
  <c r="U16" i="1"/>
  <c r="S46" i="1"/>
  <c r="U46" i="1" s="1"/>
  <c r="U17" i="1"/>
  <c r="R24" i="1"/>
  <c r="R63" i="1" s="1"/>
  <c r="S24" i="1"/>
  <c r="O76" i="1"/>
  <c r="U23" i="1"/>
  <c r="S1" i="1"/>
  <c r="U25" i="1"/>
  <c r="U22" i="1"/>
  <c r="Q26" i="1"/>
  <c r="U29" i="1"/>
  <c r="S63" i="1" l="1"/>
  <c r="P67" i="1"/>
  <c r="P76" i="1"/>
  <c r="R26" i="1"/>
  <c r="U21" i="1"/>
  <c r="Q67" i="1" l="1"/>
  <c r="R67" i="1"/>
  <c r="Q76" i="1"/>
  <c r="S26" i="1"/>
  <c r="R76" i="1" l="1"/>
  <c r="U26" i="1"/>
  <c r="S67" i="1"/>
  <c r="S76" i="1" l="1"/>
  <c r="U42" i="1" l="1"/>
  <c r="K50" i="1"/>
  <c r="K52" i="1" l="1"/>
  <c r="K55" i="1" s="1"/>
  <c r="K95" i="1"/>
  <c r="K87" i="1"/>
  <c r="K57" i="1" l="1"/>
  <c r="K61" i="1" s="1"/>
  <c r="L45" i="1" s="1"/>
  <c r="K66" i="1"/>
  <c r="K25" i="3" s="1"/>
  <c r="K86" i="1" l="1"/>
  <c r="K68" i="1"/>
  <c r="K80" i="1" s="1"/>
  <c r="L50" i="1"/>
  <c r="K79" i="1" l="1"/>
  <c r="K81" i="1" s="1"/>
  <c r="K70" i="1"/>
  <c r="L52" i="1"/>
  <c r="L87" i="1" s="1"/>
  <c r="L95" i="1"/>
  <c r="K88" i="1" l="1"/>
  <c r="L55" i="1"/>
  <c r="L57" i="1" s="1"/>
  <c r="L61" i="1" s="1"/>
  <c r="M45" i="1" s="1"/>
  <c r="L66" i="1" l="1"/>
  <c r="L25" i="3" s="1"/>
  <c r="L86" i="1"/>
  <c r="M50" i="1"/>
  <c r="M95" i="1" s="1"/>
  <c r="L68" i="1" l="1"/>
  <c r="L70" i="1" s="1"/>
  <c r="M52" i="1"/>
  <c r="M87" i="1" s="1"/>
  <c r="L79" i="1" l="1"/>
  <c r="L80" i="1"/>
  <c r="M55" i="1"/>
  <c r="L88" i="1" l="1"/>
  <c r="L81" i="1"/>
  <c r="M57" i="1"/>
  <c r="M61" i="1" s="1"/>
  <c r="N45" i="1" s="1"/>
  <c r="M66" i="1"/>
  <c r="M25" i="3" s="1"/>
  <c r="M86" i="1" l="1"/>
  <c r="N50" i="1"/>
  <c r="M68" i="1"/>
  <c r="M70" i="1" s="1"/>
  <c r="N52" i="1" l="1"/>
  <c r="N55" i="1" s="1"/>
  <c r="N95" i="1"/>
  <c r="M79" i="1"/>
  <c r="M80" i="1"/>
  <c r="N87" i="1" l="1"/>
  <c r="N66" i="1"/>
  <c r="N25" i="3" s="1"/>
  <c r="N57" i="1"/>
  <c r="N61" i="1" s="1"/>
  <c r="O45" i="1" s="1"/>
  <c r="M81" i="1"/>
  <c r="M88" i="1"/>
  <c r="N68" i="1" l="1"/>
  <c r="N79" i="1" s="1"/>
  <c r="O50" i="1"/>
  <c r="N86" i="1"/>
  <c r="O52" i="1" l="1"/>
  <c r="O55" i="1" s="1"/>
  <c r="O66" i="1" s="1"/>
  <c r="O25" i="3" s="1"/>
  <c r="O95" i="1"/>
  <c r="N70" i="1"/>
  <c r="N80" i="1"/>
  <c r="N88" i="1" s="1"/>
  <c r="N81" i="1" l="1"/>
  <c r="O87" i="1"/>
  <c r="O57" i="1"/>
  <c r="O61" i="1" s="1"/>
  <c r="O68" i="1"/>
  <c r="P45" i="1" l="1"/>
  <c r="P50" i="1" s="1"/>
  <c r="O86" i="1"/>
  <c r="O80" i="1"/>
  <c r="O79" i="1"/>
  <c r="O70" i="1"/>
  <c r="P52" i="1" l="1"/>
  <c r="P55" i="1" s="1"/>
  <c r="P57" i="1" s="1"/>
  <c r="P61" i="1" s="1"/>
  <c r="Q45" i="1" s="1"/>
  <c r="P95" i="1"/>
  <c r="O88" i="1"/>
  <c r="O81" i="1"/>
  <c r="P66" i="1" l="1"/>
  <c r="P25" i="3" s="1"/>
  <c r="P87" i="1"/>
  <c r="P86" i="1"/>
  <c r="Q50" i="1"/>
  <c r="P68" i="1" l="1"/>
  <c r="P80" i="1" s="1"/>
  <c r="Q52" i="1"/>
  <c r="Q87" i="1" s="1"/>
  <c r="Q95" i="1"/>
  <c r="P79" i="1" l="1"/>
  <c r="P81" i="1" s="1"/>
  <c r="P70" i="1"/>
  <c r="Q55" i="1"/>
  <c r="Q57" i="1" s="1"/>
  <c r="Q61" i="1" s="1"/>
  <c r="P88" i="1" l="1"/>
  <c r="R45" i="1"/>
  <c r="R50" i="1" s="1"/>
  <c r="Q66" i="1"/>
  <c r="Q25" i="3" s="1"/>
  <c r="Q86" i="1"/>
  <c r="R52" i="1" l="1"/>
  <c r="R55" i="1" s="1"/>
  <c r="R57" i="1" s="1"/>
  <c r="R61" i="1" s="1"/>
  <c r="S45" i="1" s="1"/>
  <c r="R95" i="1"/>
  <c r="Q68" i="1"/>
  <c r="Q79" i="1" s="1"/>
  <c r="R66" i="1" l="1"/>
  <c r="R25" i="3" s="1"/>
  <c r="R87" i="1"/>
  <c r="Q70" i="1"/>
  <c r="Q80" i="1"/>
  <c r="Q88" i="1" s="1"/>
  <c r="R86" i="1"/>
  <c r="R68" i="1" l="1"/>
  <c r="R70" i="1" s="1"/>
  <c r="Q81" i="1"/>
  <c r="S50" i="1"/>
  <c r="S95" i="1" s="1"/>
  <c r="U45" i="1"/>
  <c r="R79" i="1" l="1"/>
  <c r="R80" i="1"/>
  <c r="S52" i="1"/>
  <c r="U50" i="1"/>
  <c r="R81" i="1" l="1"/>
  <c r="R88" i="1"/>
  <c r="S55" i="1"/>
  <c r="S87" i="1"/>
  <c r="U52" i="1"/>
  <c r="S57" i="1" l="1"/>
  <c r="U57" i="1" s="1"/>
  <c r="U55" i="1"/>
  <c r="S66" i="1"/>
  <c r="S68" i="1" s="1"/>
  <c r="S79" i="1" l="1"/>
  <c r="S61" i="1"/>
  <c r="S86" i="1" s="1"/>
  <c r="S80" i="1" l="1"/>
  <c r="S88" i="1" s="1"/>
  <c r="S70" i="1"/>
  <c r="S81" i="1" l="1"/>
</calcChain>
</file>

<file path=xl/sharedStrings.xml><?xml version="1.0" encoding="utf-8"?>
<sst xmlns="http://schemas.openxmlformats.org/spreadsheetml/2006/main" count="126" uniqueCount="113">
  <si>
    <t>Fiscal Year</t>
  </si>
  <si>
    <t>Total</t>
  </si>
  <si>
    <t>Operating Revenue</t>
  </si>
  <si>
    <t>Operating Expenses</t>
  </si>
  <si>
    <t>Net Operating Income</t>
  </si>
  <si>
    <t>Debt Service Coverage Ratio</t>
  </si>
  <si>
    <t>Non Operating Revenues</t>
  </si>
  <si>
    <t>Cash</t>
  </si>
  <si>
    <t>Days Cash on Hand</t>
  </si>
  <si>
    <t>Due to other funds</t>
  </si>
  <si>
    <t>Total Liabilities</t>
  </si>
  <si>
    <t>Net Position</t>
  </si>
  <si>
    <t>Restricted Net Assets</t>
  </si>
  <si>
    <t>Total Net Position</t>
  </si>
  <si>
    <t>Drivers</t>
  </si>
  <si>
    <t>Sample Financial Projection</t>
  </si>
  <si>
    <t>Rural Water System</t>
  </si>
  <si>
    <t>Rate</t>
  </si>
  <si>
    <t>Base Rate</t>
  </si>
  <si>
    <t>ERUs</t>
  </si>
  <si>
    <t>Usage per ERU</t>
  </si>
  <si>
    <t>Total Consumption</t>
  </si>
  <si>
    <t>Usage Rate</t>
  </si>
  <si>
    <t>New Connections</t>
  </si>
  <si>
    <t>Connection Fee</t>
  </si>
  <si>
    <t>Model</t>
  </si>
  <si>
    <t>Usage Fees</t>
  </si>
  <si>
    <t>Municipal Transfers</t>
  </si>
  <si>
    <t>Other</t>
  </si>
  <si>
    <t>Total Operating Revenue</t>
  </si>
  <si>
    <t>Salaries &amp; Wages</t>
  </si>
  <si>
    <t>Benefits</t>
  </si>
  <si>
    <t>Utilities</t>
  </si>
  <si>
    <t>Insurance</t>
  </si>
  <si>
    <t>Permits &amp; Operating Fees</t>
  </si>
  <si>
    <t>Training</t>
  </si>
  <si>
    <t>Professional Services</t>
  </si>
  <si>
    <t>Repair &amp; Replacement</t>
  </si>
  <si>
    <t>Total Operating Expenses</t>
  </si>
  <si>
    <t>Investment / Interest Income</t>
  </si>
  <si>
    <t>Connection Fees</t>
  </si>
  <si>
    <t>Debt Service</t>
  </si>
  <si>
    <t>Contributions to Reserves</t>
  </si>
  <si>
    <t>Net Revenue</t>
  </si>
  <si>
    <t>Total Non Operating Income</t>
  </si>
  <si>
    <t>Assumption</t>
  </si>
  <si>
    <t>Pay as You Go Capital</t>
  </si>
  <si>
    <t>Current Assets</t>
  </si>
  <si>
    <t>Investments</t>
  </si>
  <si>
    <t>Capital Reserves</t>
  </si>
  <si>
    <t>Total Current Assets</t>
  </si>
  <si>
    <t>Restricted</t>
  </si>
  <si>
    <t>Current Liabilities</t>
  </si>
  <si>
    <t>Short Term Debt</t>
  </si>
  <si>
    <t>Accounts Payable</t>
  </si>
  <si>
    <t>Total Restricted Reserves</t>
  </si>
  <si>
    <t>Financial Ratios</t>
  </si>
  <si>
    <t>Reserves to OpEx</t>
  </si>
  <si>
    <t>Capital Budget Projection</t>
  </si>
  <si>
    <t>Sources</t>
  </si>
  <si>
    <t>Uses</t>
  </si>
  <si>
    <t>Equipment</t>
  </si>
  <si>
    <t>Treatment</t>
  </si>
  <si>
    <t>Distribution</t>
  </si>
  <si>
    <t>Pay as You Go</t>
  </si>
  <si>
    <t>Capital Reserve Contribution</t>
  </si>
  <si>
    <t>Debt</t>
  </si>
  <si>
    <t>Existing</t>
  </si>
  <si>
    <t>Projected</t>
  </si>
  <si>
    <t>Subtotal</t>
  </si>
  <si>
    <t>Debt ID</t>
  </si>
  <si>
    <t>Project</t>
  </si>
  <si>
    <t>Amount</t>
  </si>
  <si>
    <t>Term</t>
  </si>
  <si>
    <t>Start Year</t>
  </si>
  <si>
    <t>Bad Debt</t>
  </si>
  <si>
    <t>Tax Sale / Collections</t>
  </si>
  <si>
    <t xml:space="preserve">Operating Grants </t>
  </si>
  <si>
    <t>Source</t>
  </si>
  <si>
    <t>Resources</t>
  </si>
  <si>
    <t>Debt Issuance</t>
  </si>
  <si>
    <t>Office / Rent</t>
  </si>
  <si>
    <t>RF3-125</t>
  </si>
  <si>
    <t>Source / Uses Check</t>
  </si>
  <si>
    <t>Supplies</t>
  </si>
  <si>
    <t>REVENUE VS TOTAL EXPENSES</t>
  </si>
  <si>
    <t>Operating Revenue &amp; Non Operating Income</t>
  </si>
  <si>
    <t>DEBT PROFILE</t>
  </si>
  <si>
    <t>Projected 1</t>
  </si>
  <si>
    <t>Projected 2</t>
  </si>
  <si>
    <t>Projected 3</t>
  </si>
  <si>
    <t>Projected 4</t>
  </si>
  <si>
    <t>CAPITAL BUDGET PROJECTION</t>
  </si>
  <si>
    <t>2023 Bond Bank Financial Medians</t>
  </si>
  <si>
    <t>Days Cash on Hand Median</t>
  </si>
  <si>
    <t>Debt Service Coverage Ratio Median</t>
  </si>
  <si>
    <t>Reserves to OpEx Median</t>
  </si>
  <si>
    <t>Debt Profile</t>
  </si>
  <si>
    <t>Capital Reserve Fund Beginning Balance</t>
  </si>
  <si>
    <t>Sources must equal uses</t>
  </si>
  <si>
    <t>Visit https://www.vtbondbank.org/borrowers to export existing debt into model</t>
  </si>
  <si>
    <t>New debt for capital budget can be entered into the "Projected" column</t>
  </si>
  <si>
    <t>Debt ID will show in the visualization tabs; change to names most helpful</t>
  </si>
  <si>
    <r>
      <t xml:space="preserve">Cells with </t>
    </r>
    <r>
      <rPr>
        <sz val="11"/>
        <color theme="4" tint="-0.24994659260841701"/>
        <rFont val="Calibri"/>
        <family val="2"/>
      </rPr>
      <t xml:space="preserve">blue font </t>
    </r>
    <r>
      <rPr>
        <sz val="11"/>
        <color theme="1"/>
        <rFont val="Calibri"/>
        <family val="2"/>
        <scheme val="minor"/>
      </rPr>
      <t>are require hard coded entries (manual)</t>
    </r>
  </si>
  <si>
    <r>
      <t>Cells with</t>
    </r>
    <r>
      <rPr>
        <sz val="11"/>
        <color theme="9" tint="-0.24994659260841701"/>
        <rFont val="Calibri"/>
        <family val="2"/>
      </rPr>
      <t xml:space="preserve"> green font </t>
    </r>
    <r>
      <rPr>
        <sz val="11"/>
        <color theme="1"/>
        <rFont val="Calibri"/>
        <family val="2"/>
        <scheme val="minor"/>
      </rPr>
      <t>sometimes require modification</t>
    </r>
  </si>
  <si>
    <t>Cells with black font are formulas and should remain unchanged</t>
  </si>
  <si>
    <t>Sample Debt Profile</t>
  </si>
  <si>
    <t>General / Financial Projection</t>
  </si>
  <si>
    <t>Resources shows relevant sources from financial projection and debt profile tabs that can be used to fund capital budget</t>
  </si>
  <si>
    <t>Maintenance</t>
  </si>
  <si>
    <t>Licenses &amp; Dues</t>
  </si>
  <si>
    <t>Accounts Receivable</t>
  </si>
  <si>
    <t>Unrestricted Net Assets / Available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</si>
</sst>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_);\(0\)"/>
    <numFmt numFmtId="165" formatCode="0.00&quot;x&quot;"/>
    <numFmt numFmtId="166" formatCode="0.00%&quot; of Collections&quot;"/>
    <numFmt numFmtId="167" formatCode="0.00%&quot; Interest Earning Rate&quot;"/>
    <numFmt numFmtId="169" formatCode="0.00%&quot; of Reserve Contr&quot;"/>
    <numFmt numFmtId="170" formatCode="0.00%&quot; of Free Cash Flow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8" tint="-0.499984740745262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 tint="-0.24994659260841701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9" tint="-0.2499465926084170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37" fontId="0" fillId="0" borderId="0" xfId="0" applyNumberFormat="1"/>
    <xf numFmtId="37" fontId="0" fillId="0" borderId="1" xfId="0" applyNumberFormat="1" applyBorder="1"/>
    <xf numFmtId="37" fontId="2" fillId="0" borderId="0" xfId="0" applyNumberFormat="1" applyFont="1"/>
    <xf numFmtId="37" fontId="2" fillId="0" borderId="1" xfId="0" applyNumberFormat="1" applyFont="1" applyBorder="1" applyAlignment="1">
      <alignment horizontal="left"/>
    </xf>
    <xf numFmtId="164" fontId="2" fillId="0" borderId="0" xfId="0" applyNumberFormat="1" applyFont="1"/>
    <xf numFmtId="37" fontId="2" fillId="0" borderId="0" xfId="0" applyNumberFormat="1" applyFont="1" applyAlignment="1">
      <alignment horizontal="right"/>
    </xf>
    <xf numFmtId="37" fontId="0" fillId="0" borderId="0" xfId="0" applyNumberFormat="1" applyAlignment="1">
      <alignment horizontal="center"/>
    </xf>
    <xf numFmtId="37" fontId="3" fillId="0" borderId="0" xfId="0" applyNumberFormat="1" applyFont="1"/>
    <xf numFmtId="37" fontId="0" fillId="0" borderId="2" xfId="0" applyNumberFormat="1" applyBorder="1"/>
    <xf numFmtId="9" fontId="0" fillId="0" borderId="0" xfId="1" applyFont="1" applyFill="1"/>
    <xf numFmtId="37" fontId="4" fillId="0" borderId="0" xfId="0" applyNumberFormat="1" applyFont="1"/>
    <xf numFmtId="37" fontId="4" fillId="0" borderId="1" xfId="0" applyNumberFormat="1" applyFont="1" applyBorder="1"/>
    <xf numFmtId="37" fontId="4" fillId="0" borderId="2" xfId="0" applyNumberFormat="1" applyFont="1" applyBorder="1"/>
    <xf numFmtId="37" fontId="2" fillId="0" borderId="0" xfId="0" applyNumberFormat="1" applyFont="1" applyAlignment="1">
      <alignment horizontal="center"/>
    </xf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/>
    <xf numFmtId="9" fontId="4" fillId="0" borderId="0" xfId="1" applyFont="1"/>
    <xf numFmtId="37" fontId="5" fillId="0" borderId="0" xfId="0" applyNumberFormat="1" applyFont="1"/>
    <xf numFmtId="37" fontId="6" fillId="0" borderId="0" xfId="0" applyNumberFormat="1" applyFont="1"/>
    <xf numFmtId="10" fontId="7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37" fontId="6" fillId="0" borderId="1" xfId="0" applyNumberFormat="1" applyFont="1" applyBorder="1"/>
    <xf numFmtId="164" fontId="9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7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0" fontId="10" fillId="2" borderId="0" xfId="0" applyFont="1" applyFill="1"/>
    <xf numFmtId="37" fontId="11" fillId="0" borderId="0" xfId="0" applyNumberFormat="1" applyFont="1"/>
    <xf numFmtId="37" fontId="11" fillId="0" borderId="0" xfId="0" applyNumberFormat="1" applyFont="1" applyAlignment="1">
      <alignment horizontal="right"/>
    </xf>
    <xf numFmtId="170" fontId="7" fillId="0" borderId="0" xfId="0" applyNumberFormat="1" applyFont="1" applyAlignment="1">
      <alignment horizontal="center"/>
    </xf>
    <xf numFmtId="37" fontId="1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'Financial Projection'!$F$42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Projection'!$J$42:$S$42</c:f>
              <c:numCache>
                <c:formatCode>#,##0_);\(#,##0\)</c:formatCode>
                <c:ptCount val="10"/>
                <c:pt idx="0">
                  <c:v>38450</c:v>
                </c:pt>
                <c:pt idx="1">
                  <c:v>39603.5</c:v>
                </c:pt>
                <c:pt idx="2">
                  <c:v>40791.605000000003</c:v>
                </c:pt>
                <c:pt idx="3">
                  <c:v>42015.353150000003</c:v>
                </c:pt>
                <c:pt idx="4">
                  <c:v>43275.813744500003</c:v>
                </c:pt>
                <c:pt idx="5">
                  <c:v>44574.088156835009</c:v>
                </c:pt>
                <c:pt idx="6">
                  <c:v>45911.310801540058</c:v>
                </c:pt>
                <c:pt idx="7">
                  <c:v>47288.65012558626</c:v>
                </c:pt>
                <c:pt idx="8">
                  <c:v>48707.309629353847</c:v>
                </c:pt>
                <c:pt idx="9">
                  <c:v>50168.528918234464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1-4CAD-8CC7-384C13D1C35E}"/>
            </c:ext>
          </c:extLst>
        </c:ser>
        <c:ser>
          <c:idx val="1"/>
          <c:order val="1"/>
          <c:tx>
            <c:strRef>
              <c:f>'Financial Projection'!$F$54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Projection'!$J$54:$S$54</c:f>
              <c:numCache>
                <c:formatCode>#,##0_);\(#,##0\)</c:formatCode>
                <c:ptCount val="10"/>
                <c:pt idx="0">
                  <c:v>21008</c:v>
                </c:pt>
                <c:pt idx="1">
                  <c:v>21008</c:v>
                </c:pt>
                <c:pt idx="2">
                  <c:v>30720.843122409249</c:v>
                </c:pt>
                <c:pt idx="3">
                  <c:v>30720.843122409249</c:v>
                </c:pt>
                <c:pt idx="4">
                  <c:v>30720.843122409249</c:v>
                </c:pt>
                <c:pt idx="5">
                  <c:v>30720.843122409249</c:v>
                </c:pt>
                <c:pt idx="6">
                  <c:v>99012.68770921517</c:v>
                </c:pt>
                <c:pt idx="7">
                  <c:v>99012.68770921517</c:v>
                </c:pt>
                <c:pt idx="8">
                  <c:v>99012.68770921517</c:v>
                </c:pt>
                <c:pt idx="9">
                  <c:v>99012.68770921517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11-4CAD-8CC7-384C13D1C35E}"/>
            </c:ext>
          </c:extLst>
        </c:ser>
        <c:ser>
          <c:idx val="2"/>
          <c:order val="2"/>
          <c:tx>
            <c:strRef>
              <c:f>'Financial Projection'!$F$55</c:f>
              <c:strCache>
                <c:ptCount val="1"/>
                <c:pt idx="0">
                  <c:v>Contributions to Reserves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Projection'!$J$55:$S$55</c:f>
              <c:numCache>
                <c:formatCode>#,##0_);\(#,##0\)</c:formatCode>
                <c:ptCount val="10"/>
                <c:pt idx="0">
                  <c:v>5238.4399999999996</c:v>
                </c:pt>
                <c:pt idx="1">
                  <c:v>5960.4240000000009</c:v>
                </c:pt>
                <c:pt idx="2">
                  <c:v>8118.518244240925</c:v>
                </c:pt>
                <c:pt idx="3">
                  <c:v>9512.3254101476232</c:v>
                </c:pt>
                <c:pt idx="4">
                  <c:v>11116.166020590641</c:v>
                </c:pt>
                <c:pt idx="5">
                  <c:v>12900.296590788135</c:v>
                </c:pt>
                <c:pt idx="6">
                  <c:v>21817.343706025273</c:v>
                </c:pt>
                <c:pt idx="7">
                  <c:v>24105.373607607118</c:v>
                </c:pt>
                <c:pt idx="8">
                  <c:v>26794.821389162531</c:v>
                </c:pt>
                <c:pt idx="9">
                  <c:v>29947.443415949449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11-4CAD-8CC7-384C13D1C35E}"/>
            </c:ext>
          </c:extLst>
        </c:ser>
        <c:ser>
          <c:idx val="3"/>
          <c:order val="3"/>
          <c:tx>
            <c:strRef>
              <c:f>'Financial Projection'!$F$56</c:f>
              <c:strCache>
                <c:ptCount val="1"/>
                <c:pt idx="0">
                  <c:v>Pay as You Go Capital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Projection'!$J$56:$S$56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11-4CAD-8CC7-384C13D1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4122479"/>
        <c:axId val="774115759"/>
      </c:barChart>
      <c:lineChart>
        <c:grouping val="standard"/>
        <c:varyColors val="0"/>
        <c:ser>
          <c:idx val="4"/>
          <c:order val="4"/>
          <c:tx>
            <c:strRef>
              <c:f>'Financial Projection'!$F$26</c:f>
              <c:strCache>
                <c:ptCount val="1"/>
                <c:pt idx="0">
                  <c:v>Total Operating 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Projection'!$J$26:$S$26</c:f>
              <c:numCache>
                <c:formatCode>#,##0_);\(#,##0\)</c:formatCode>
                <c:ptCount val="10"/>
                <c:pt idx="0">
                  <c:v>66326.399999999994</c:v>
                </c:pt>
                <c:pt idx="1">
                  <c:v>77334.740000000005</c:v>
                </c:pt>
                <c:pt idx="2">
                  <c:v>90153.237999999998</c:v>
                </c:pt>
                <c:pt idx="3">
                  <c:v>105077.25374999999</c:v>
                </c:pt>
                <c:pt idx="4">
                  <c:v>122450.02636999996</c:v>
                </c:pt>
                <c:pt idx="5">
                  <c:v>140817.53032549995</c:v>
                </c:pt>
                <c:pt idx="6">
                  <c:v>161940.15987432495</c:v>
                </c:pt>
                <c:pt idx="7">
                  <c:v>186231.18385547368</c:v>
                </c:pt>
                <c:pt idx="8">
                  <c:v>214165.86143379469</c:v>
                </c:pt>
                <c:pt idx="9">
                  <c:v>246290.74064886387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11-4CAD-8CC7-384C13D1C35E}"/>
            </c:ext>
          </c:extLst>
        </c:ser>
        <c:ser>
          <c:idx val="5"/>
          <c:order val="5"/>
          <c:tx>
            <c:strRef>
              <c:f>'Financial Projection'!$F$95</c:f>
              <c:strCache>
                <c:ptCount val="1"/>
                <c:pt idx="0">
                  <c:v>Operating Revenue &amp; Non Operating Income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'Financial Projection'!$J$6:$S$6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'Financial Projection'!$J$95:$S$95</c:f>
              <c:numCache>
                <c:formatCode>#,##0_);\(#,##0\)</c:formatCode>
                <c:ptCount val="10"/>
                <c:pt idx="0">
                  <c:v>69826.399999999994</c:v>
                </c:pt>
                <c:pt idx="1">
                  <c:v>78199.740000000005</c:v>
                </c:pt>
                <c:pt idx="2">
                  <c:v>91255.944319999995</c:v>
                </c:pt>
                <c:pt idx="3">
                  <c:v>106417.76412906699</c:v>
                </c:pt>
                <c:pt idx="4">
                  <c:v>123716.63082799716</c:v>
                </c:pt>
                <c:pt idx="5">
                  <c:v>142856.21094230708</c:v>
                </c:pt>
                <c:pt idx="6">
                  <c:v>165072.06015257759</c:v>
                </c:pt>
                <c:pt idx="7">
                  <c:v>189329.69849244226</c:v>
                </c:pt>
                <c:pt idx="8">
                  <c:v>217642.83581176394</c:v>
                </c:pt>
                <c:pt idx="9">
                  <c:v>250630.27536851377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11-4CAD-8CC7-384C13D1C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122479"/>
        <c:axId val="774115759"/>
      </c:lineChart>
      <c:catAx>
        <c:axId val="774122479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115759"/>
        <c:crosses val="autoZero"/>
        <c:auto val="0"/>
        <c:lblAlgn val="ctr"/>
        <c:lblOffset val="100"/>
        <c:noMultiLvlLbl val="0"/>
      </c:catAx>
      <c:valAx>
        <c:axId val="774115759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4122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'Debt Profile'!$C$8</c:f>
              <c:strCache>
                <c:ptCount val="1"/>
                <c:pt idx="0">
                  <c:v>RF3-125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Profile'!$C$16:$C$25</c:f>
              <c:numCache>
                <c:formatCode>#,##0_);\(#,##0\)</c:formatCode>
                <c:ptCount val="10"/>
                <c:pt idx="0">
                  <c:v>21008</c:v>
                </c:pt>
                <c:pt idx="1">
                  <c:v>21008</c:v>
                </c:pt>
                <c:pt idx="2">
                  <c:v>21008</c:v>
                </c:pt>
                <c:pt idx="3">
                  <c:v>21008</c:v>
                </c:pt>
                <c:pt idx="4">
                  <c:v>21008</c:v>
                </c:pt>
                <c:pt idx="5">
                  <c:v>21008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6-4DAA-BE57-5BE3E7BF7561}"/>
            </c:ext>
          </c:extLst>
        </c:ser>
        <c:ser>
          <c:idx val="1"/>
          <c:order val="1"/>
          <c:tx>
            <c:strRef>
              <c:f>'Debt Profile'!$D$8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Profile'!$D$16:$D$25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BF86-4DAA-BE57-5BE3E7BF7561}"/>
            </c:ext>
          </c:extLst>
        </c:ser>
        <c:ser>
          <c:idx val="2"/>
          <c:order val="2"/>
          <c:tx>
            <c:strRef>
              <c:f>'Debt Profile'!$E$8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Profile'!$E$16:$E$25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BF86-4DAA-BE57-5BE3E7BF7561}"/>
            </c:ext>
          </c:extLst>
        </c:ser>
        <c:ser>
          <c:idx val="3"/>
          <c:order val="3"/>
          <c:tx>
            <c:strRef>
              <c:f>'Debt Profile'!$F$8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Profile'!$F$16:$F$25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BF86-4DAA-BE57-5BE3E7BF7561}"/>
            </c:ext>
          </c:extLst>
        </c:ser>
        <c:ser>
          <c:idx val="4"/>
          <c:order val="4"/>
          <c:tx>
            <c:strRef>
              <c:f>'Debt Profile'!$G$8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Profile'!$G$16:$G$25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BF86-4DAA-BE57-5BE3E7BF7561}"/>
            </c:ext>
          </c:extLst>
        </c:ser>
        <c:ser>
          <c:idx val="5"/>
          <c:order val="5"/>
          <c:tx>
            <c:strRef>
              <c:f>'Debt Profile'!$H$8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Profile'!$H$16:$H$25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BF86-4DAA-BE57-5BE3E7BF7561}"/>
            </c:ext>
          </c:extLst>
        </c:ser>
        <c:ser>
          <c:idx val="6"/>
          <c:order val="6"/>
          <c:tx>
            <c:strRef>
              <c:f>'Debt Profile'!$I$8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Profile'!$I$16:$I$25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BF86-4DAA-BE57-5BE3E7BF7561}"/>
            </c:ext>
          </c:extLst>
        </c:ser>
        <c:ser>
          <c:idx val="7"/>
          <c:order val="7"/>
          <c:tx>
            <c:strRef>
              <c:f>'Debt Profile'!$J$8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Profile'!$J$16:$J$25</c:f>
              <c:numCache>
                <c:formatCode>#,##0_);\(#,##0\)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BF86-4DAA-BE57-5BE3E7BF7561}"/>
            </c:ext>
          </c:extLst>
        </c:ser>
        <c:ser>
          <c:idx val="8"/>
          <c:order val="8"/>
          <c:tx>
            <c:strRef>
              <c:f>'Debt Profile'!$M$8</c:f>
              <c:strCache>
                <c:ptCount val="1"/>
                <c:pt idx="0">
                  <c:v>Projected 1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Profile'!$M$16:$M$25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9712.8431224092492</c:v>
                </c:pt>
                <c:pt idx="3">
                  <c:v>9712.8431224092492</c:v>
                </c:pt>
                <c:pt idx="4">
                  <c:v>9712.8431224092492</c:v>
                </c:pt>
                <c:pt idx="5">
                  <c:v>9712.8431224092492</c:v>
                </c:pt>
                <c:pt idx="6">
                  <c:v>9712.8431224092492</c:v>
                </c:pt>
                <c:pt idx="7">
                  <c:v>9712.8431224092492</c:v>
                </c:pt>
                <c:pt idx="8">
                  <c:v>9712.8431224092492</c:v>
                </c:pt>
                <c:pt idx="9">
                  <c:v>9712.8431224092492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86-4DAA-BE57-5BE3E7BF7561}"/>
            </c:ext>
          </c:extLst>
        </c:ser>
        <c:ser>
          <c:idx val="9"/>
          <c:order val="9"/>
          <c:tx>
            <c:strRef>
              <c:f>'Debt Profile'!$N$8</c:f>
              <c:strCache>
                <c:ptCount val="1"/>
                <c:pt idx="0">
                  <c:v>Projected 2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Profile'!$N$16:$N$25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89299.844586805921</c:v>
                </c:pt>
                <c:pt idx="7">
                  <c:v>89299.844586805921</c:v>
                </c:pt>
                <c:pt idx="8">
                  <c:v>89299.844586805921</c:v>
                </c:pt>
                <c:pt idx="9">
                  <c:v>89299.844586805921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86-4DAA-BE57-5BE3E7BF7561}"/>
            </c:ext>
          </c:extLst>
        </c:ser>
        <c:ser>
          <c:idx val="10"/>
          <c:order val="10"/>
          <c:tx>
            <c:strRef>
              <c:f>'Debt Profile'!$O$8</c:f>
              <c:strCache>
                <c:ptCount val="1"/>
                <c:pt idx="0">
                  <c:v>Projected 3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Profile'!$O$16:$O$25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86-4DAA-BE57-5BE3E7BF7561}"/>
            </c:ext>
          </c:extLst>
        </c:ser>
        <c:ser>
          <c:idx val="11"/>
          <c:order val="11"/>
          <c:tx>
            <c:strRef>
              <c:f>'Debt Profile'!$P$8</c:f>
              <c:strCache>
                <c:ptCount val="1"/>
                <c:pt idx="0">
                  <c:v>Projected 4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'Debt Profile'!$B$16:$B$25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'Debt Profile'!$P$16:$P$25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86-4DAA-BE57-5BE3E7BF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4442831"/>
        <c:axId val="919347983"/>
      </c:barChart>
      <c:catAx>
        <c:axId val="65444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347983"/>
        <c:crosses val="autoZero"/>
        <c:auto val="1"/>
        <c:lblAlgn val="ctr"/>
        <c:lblOffset val="100"/>
        <c:noMultiLvlLbl val="0"/>
      </c:catAx>
      <c:valAx>
        <c:axId val="919347983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442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'Capital Budget Projection'!$E$10</c:f>
              <c:strCache>
                <c:ptCount val="1"/>
                <c:pt idx="0">
                  <c:v>Equipment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Projection'!$I$10:$R$10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75000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85000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8-4021-82D0-A6047B488622}"/>
            </c:ext>
          </c:extLst>
        </c:ser>
        <c:ser>
          <c:idx val="1"/>
          <c:order val="1"/>
          <c:tx>
            <c:strRef>
              <c:f>'Capital Budget Projection'!$E$11</c:f>
              <c:strCache>
                <c:ptCount val="1"/>
                <c:pt idx="0">
                  <c:v>Source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Projection'!$I$11:$R$11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D8-4021-82D0-A6047B488622}"/>
            </c:ext>
          </c:extLst>
        </c:ser>
        <c:ser>
          <c:idx val="2"/>
          <c:order val="2"/>
          <c:tx>
            <c:strRef>
              <c:f>'Capital Budget Projection'!$E$12</c:f>
              <c:strCache>
                <c:ptCount val="1"/>
                <c:pt idx="0">
                  <c:v>Treatment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Projection'!$I$12:$R$12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D8-4021-82D0-A6047B488622}"/>
            </c:ext>
          </c:extLst>
        </c:ser>
        <c:ser>
          <c:idx val="3"/>
          <c:order val="3"/>
          <c:tx>
            <c:strRef>
              <c:f>'Capital Budget Projection'!$E$13</c:f>
              <c:strCache>
                <c:ptCount val="1"/>
                <c:pt idx="0">
                  <c:v>Distribution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Projection'!$I$13:$R$13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D8-4021-82D0-A6047B488622}"/>
            </c:ext>
          </c:extLst>
        </c:ser>
        <c:ser>
          <c:idx val="4"/>
          <c:order val="4"/>
          <c:tx>
            <c:strRef>
              <c:f>'Capital Budget Projection'!$E$17</c:f>
              <c:strCache>
                <c:ptCount val="1"/>
                <c:pt idx="0">
                  <c:v>Pay as You 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Projection'!$I$17:$R$17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D8-4021-82D0-A6047B488622}"/>
            </c:ext>
          </c:extLst>
        </c:ser>
        <c:ser>
          <c:idx val="5"/>
          <c:order val="5"/>
          <c:tx>
            <c:strRef>
              <c:f>'Capital Budget Projection'!$E$18</c:f>
              <c:strCache>
                <c:ptCount val="1"/>
                <c:pt idx="0">
                  <c:v>Capital Reserve Contribution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Projection'!$I$18:$R$18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85000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D8-4021-82D0-A6047B488622}"/>
            </c:ext>
          </c:extLst>
        </c:ser>
        <c:ser>
          <c:idx val="6"/>
          <c:order val="6"/>
          <c:tx>
            <c:strRef>
              <c:f>'Capital Budget Projection'!$E$19</c:f>
              <c:strCache>
                <c:ptCount val="1"/>
                <c:pt idx="0">
                  <c:v>Debt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'Capital Budget Projection'!$I$7:$R$7</c:f>
              <c:numCache>
                <c:formatCode>0_);\(0\)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'Capital Budget Projection'!$I$19:$R$19</c:f>
              <c:numCache>
                <c:formatCode>#,##0_);\(#,##0\)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75000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2000000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D8-4021-82D0-A6047B488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22063535"/>
        <c:axId val="922062575"/>
      </c:barChart>
      <c:catAx>
        <c:axId val="922063535"/>
        <c:scaling>
          <c:orientation val="minMax"/>
        </c:scaling>
        <c:delete val="0"/>
        <c:axPos val="l"/>
        <c:numFmt formatCode="0_);\(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062575"/>
        <c:crosses val="autoZero"/>
        <c:auto val="1"/>
        <c:lblAlgn val="ctr"/>
        <c:lblOffset val="100"/>
        <c:noMultiLvlLbl val="0"/>
      </c:catAx>
      <c:valAx>
        <c:axId val="922062575"/>
        <c:scaling>
          <c:orientation val="minMax"/>
        </c:scaling>
        <c:delete val="0"/>
        <c:axPos val="b"/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063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1</xdr:rowOff>
    </xdr:from>
    <xdr:to>
      <xdr:col>11</xdr:col>
      <xdr:colOff>603249</xdr:colOff>
      <xdr:row>27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E9B6D-86DD-4114-8E93-52740B4FE6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11206</xdr:colOff>
      <xdr:row>48</xdr:row>
      <xdr:rowOff>56029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A793DF-AFBF-4DE4-94C2-B627BD148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5</xdr:row>
      <xdr:rowOff>0</xdr:rowOff>
    </xdr:from>
    <xdr:to>
      <xdr:col>24</xdr:col>
      <xdr:colOff>11205</xdr:colOff>
      <xdr:row>27</xdr:row>
      <xdr:rowOff>44824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E76CCE-9DA3-4FA0-958D-732A80B2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2121-B38A-4892-9710-A8F20662BAFC}">
  <dimension ref="B3:C15"/>
  <sheetViews>
    <sheetView workbookViewId="0">
      <selection activeCell="D33" sqref="D33"/>
    </sheetView>
  </sheetViews>
  <sheetFormatPr defaultRowHeight="14.5" x14ac:dyDescent="0.35"/>
  <cols>
    <col min="2" max="2" width="1.6328125" style="16" customWidth="1"/>
  </cols>
  <sheetData>
    <row r="3" spans="2:3" x14ac:dyDescent="0.35">
      <c r="B3" s="16" t="s">
        <v>107</v>
      </c>
    </row>
    <row r="4" spans="2:3" x14ac:dyDescent="0.35">
      <c r="C4" t="s">
        <v>103</v>
      </c>
    </row>
    <row r="5" spans="2:3" x14ac:dyDescent="0.35">
      <c r="C5" t="s">
        <v>104</v>
      </c>
    </row>
    <row r="6" spans="2:3" x14ac:dyDescent="0.35">
      <c r="C6" t="s">
        <v>105</v>
      </c>
    </row>
    <row r="8" spans="2:3" x14ac:dyDescent="0.35">
      <c r="B8" s="16" t="s">
        <v>97</v>
      </c>
    </row>
    <row r="9" spans="2:3" x14ac:dyDescent="0.35">
      <c r="C9" t="s">
        <v>100</v>
      </c>
    </row>
    <row r="10" spans="2:3" x14ac:dyDescent="0.35">
      <c r="C10" t="s">
        <v>101</v>
      </c>
    </row>
    <row r="11" spans="2:3" x14ac:dyDescent="0.35">
      <c r="C11" t="s">
        <v>102</v>
      </c>
    </row>
    <row r="13" spans="2:3" x14ac:dyDescent="0.35">
      <c r="B13" s="16" t="s">
        <v>58</v>
      </c>
    </row>
    <row r="14" spans="2:3" x14ac:dyDescent="0.35">
      <c r="C14" t="s">
        <v>99</v>
      </c>
    </row>
    <row r="15" spans="2:3" x14ac:dyDescent="0.35">
      <c r="C15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FD60-CA3D-40D7-A18F-3DB9A3758E12}">
  <dimension ref="C1:U95"/>
  <sheetViews>
    <sheetView topLeftCell="A69" zoomScale="90" zoomScaleNormal="90" workbookViewId="0">
      <selection activeCell="F93" sqref="A1:XFD1048576"/>
    </sheetView>
  </sheetViews>
  <sheetFormatPr defaultColWidth="8.7265625" defaultRowHeight="14.5" x14ac:dyDescent="0.35"/>
  <cols>
    <col min="1" max="2" width="8.7265625" style="1"/>
    <col min="3" max="3" width="5.54296875" style="1" customWidth="1"/>
    <col min="4" max="5" width="1.54296875" style="1" customWidth="1"/>
    <col min="6" max="6" width="22.54296875" style="1" bestFit="1" customWidth="1"/>
    <col min="7" max="7" width="1.54296875" style="1" customWidth="1"/>
    <col min="8" max="8" width="21" style="22" bestFit="1" customWidth="1"/>
    <col min="9" max="9" width="1.54296875" style="1" customWidth="1"/>
    <col min="10" max="19" width="11.54296875" style="1" customWidth="1"/>
    <col min="20" max="20" width="1.54296875" style="1" customWidth="1"/>
    <col min="21" max="21" width="13.26953125" style="1" bestFit="1" customWidth="1"/>
    <col min="22" max="16384" width="8.7265625" style="1"/>
  </cols>
  <sheetData>
    <row r="1" spans="3:21" x14ac:dyDescent="0.35">
      <c r="H1" s="1"/>
      <c r="J1" s="3">
        <v>1</v>
      </c>
      <c r="K1" s="3">
        <f>J1+1</f>
        <v>2</v>
      </c>
      <c r="L1" s="3">
        <f t="shared" ref="L1:S1" si="0">K1+1</f>
        <v>3</v>
      </c>
      <c r="M1" s="3">
        <f t="shared" si="0"/>
        <v>4</v>
      </c>
      <c r="N1" s="3">
        <f t="shared" si="0"/>
        <v>5</v>
      </c>
      <c r="O1" s="3">
        <f t="shared" si="0"/>
        <v>6</v>
      </c>
      <c r="P1" s="3">
        <f t="shared" si="0"/>
        <v>7</v>
      </c>
      <c r="Q1" s="3">
        <f t="shared" si="0"/>
        <v>8</v>
      </c>
      <c r="R1" s="3">
        <f t="shared" si="0"/>
        <v>9</v>
      </c>
      <c r="S1" s="3">
        <f t="shared" si="0"/>
        <v>10</v>
      </c>
    </row>
    <row r="2" spans="3:21" x14ac:dyDescent="0.35">
      <c r="H2" s="1"/>
    </row>
    <row r="3" spans="3:21" x14ac:dyDescent="0.35">
      <c r="C3" s="3" t="s">
        <v>16</v>
      </c>
      <c r="H3" s="1"/>
    </row>
    <row r="4" spans="3:21" x14ac:dyDescent="0.35">
      <c r="C4" s="3" t="s">
        <v>15</v>
      </c>
      <c r="H4" s="1"/>
    </row>
    <row r="5" spans="3:21" x14ac:dyDescent="0.35">
      <c r="H5" s="1"/>
      <c r="J5" s="4" t="s">
        <v>0</v>
      </c>
      <c r="K5" s="4"/>
      <c r="L5" s="4"/>
      <c r="M5" s="4"/>
      <c r="N5" s="4"/>
      <c r="O5" s="4"/>
      <c r="P5" s="4"/>
      <c r="Q5" s="4"/>
      <c r="R5" s="4"/>
      <c r="S5" s="4"/>
    </row>
    <row r="6" spans="3:21" s="3" customFormat="1" x14ac:dyDescent="0.35">
      <c r="J6" s="27">
        <v>2024</v>
      </c>
      <c r="K6" s="5">
        <f>J6+1</f>
        <v>2025</v>
      </c>
      <c r="L6" s="5">
        <f t="shared" ref="L6:S6" si="1">K6+1</f>
        <v>2026</v>
      </c>
      <c r="M6" s="5">
        <f t="shared" si="1"/>
        <v>2027</v>
      </c>
      <c r="N6" s="5">
        <f t="shared" si="1"/>
        <v>2028</v>
      </c>
      <c r="O6" s="5">
        <f t="shared" si="1"/>
        <v>2029</v>
      </c>
      <c r="P6" s="5">
        <f t="shared" si="1"/>
        <v>2030</v>
      </c>
      <c r="Q6" s="5">
        <f t="shared" si="1"/>
        <v>2031</v>
      </c>
      <c r="R6" s="5">
        <f t="shared" si="1"/>
        <v>2032</v>
      </c>
      <c r="S6" s="5">
        <f t="shared" si="1"/>
        <v>2033</v>
      </c>
      <c r="U6" s="6" t="s">
        <v>1</v>
      </c>
    </row>
    <row r="7" spans="3:21" x14ac:dyDescent="0.35">
      <c r="H7" s="1"/>
    </row>
    <row r="8" spans="3:21" x14ac:dyDescent="0.35">
      <c r="C8" s="7">
        <v>1</v>
      </c>
      <c r="D8" s="3" t="s">
        <v>14</v>
      </c>
      <c r="E8" s="3"/>
      <c r="H8" s="14" t="s">
        <v>45</v>
      </c>
    </row>
    <row r="9" spans="3:21" x14ac:dyDescent="0.35">
      <c r="C9" s="7">
        <f>C8+1</f>
        <v>2</v>
      </c>
      <c r="F9" s="1" t="s">
        <v>19</v>
      </c>
      <c r="J9" s="11">
        <v>72</v>
      </c>
      <c r="K9" s="1">
        <f>J9+J13</f>
        <v>73</v>
      </c>
      <c r="L9" s="1">
        <f t="shared" ref="L9:S9" si="2">K9+K13</f>
        <v>74</v>
      </c>
      <c r="M9" s="1">
        <f t="shared" si="2"/>
        <v>75</v>
      </c>
      <c r="N9" s="1">
        <f t="shared" si="2"/>
        <v>76</v>
      </c>
      <c r="O9" s="1">
        <f t="shared" si="2"/>
        <v>76</v>
      </c>
      <c r="P9" s="1">
        <f t="shared" si="2"/>
        <v>76</v>
      </c>
      <c r="Q9" s="1">
        <f t="shared" si="2"/>
        <v>76</v>
      </c>
      <c r="R9" s="1">
        <f t="shared" si="2"/>
        <v>76</v>
      </c>
      <c r="S9" s="1">
        <f t="shared" si="2"/>
        <v>76</v>
      </c>
      <c r="U9" s="1">
        <f>SUM(J9:S9)</f>
        <v>750</v>
      </c>
    </row>
    <row r="10" spans="3:21" x14ac:dyDescent="0.35">
      <c r="C10" s="7">
        <f t="shared" ref="C10:C77" si="3">C9+1</f>
        <v>3</v>
      </c>
      <c r="F10" s="1" t="s">
        <v>20</v>
      </c>
      <c r="J10" s="12"/>
      <c r="K10" s="2"/>
      <c r="L10" s="2"/>
      <c r="M10" s="2"/>
      <c r="N10" s="2"/>
      <c r="O10" s="2"/>
      <c r="P10" s="2"/>
      <c r="Q10" s="2"/>
      <c r="R10" s="2"/>
      <c r="S10" s="2"/>
      <c r="U10" s="1">
        <f t="shared" ref="U10:U11" si="4">SUM(J10:S10)</f>
        <v>0</v>
      </c>
    </row>
    <row r="11" spans="3:21" x14ac:dyDescent="0.35">
      <c r="C11" s="7">
        <f t="shared" si="3"/>
        <v>4</v>
      </c>
      <c r="F11" s="1" t="s">
        <v>21</v>
      </c>
      <c r="J11" s="1">
        <f t="shared" ref="J11:S11" si="5">SUM(J9:J10)</f>
        <v>72</v>
      </c>
      <c r="K11" s="1">
        <f t="shared" si="5"/>
        <v>73</v>
      </c>
      <c r="L11" s="1">
        <f t="shared" si="5"/>
        <v>74</v>
      </c>
      <c r="M11" s="1">
        <f t="shared" si="5"/>
        <v>75</v>
      </c>
      <c r="N11" s="1">
        <f t="shared" si="5"/>
        <v>76</v>
      </c>
      <c r="O11" s="1">
        <f t="shared" si="5"/>
        <v>76</v>
      </c>
      <c r="P11" s="1">
        <f t="shared" si="5"/>
        <v>76</v>
      </c>
      <c r="Q11" s="1">
        <f t="shared" si="5"/>
        <v>76</v>
      </c>
      <c r="R11" s="1">
        <f t="shared" si="5"/>
        <v>76</v>
      </c>
      <c r="S11" s="1">
        <f t="shared" si="5"/>
        <v>76</v>
      </c>
      <c r="U11" s="1">
        <f t="shared" si="4"/>
        <v>750</v>
      </c>
    </row>
    <row r="12" spans="3:21" x14ac:dyDescent="0.35">
      <c r="C12" s="7">
        <f t="shared" si="3"/>
        <v>5</v>
      </c>
    </row>
    <row r="13" spans="3:21" x14ac:dyDescent="0.35">
      <c r="C13" s="7">
        <f t="shared" si="3"/>
        <v>6</v>
      </c>
      <c r="F13" s="1" t="s">
        <v>23</v>
      </c>
      <c r="J13" s="11">
        <v>1</v>
      </c>
      <c r="K13" s="11">
        <v>1</v>
      </c>
      <c r="L13" s="11">
        <v>1</v>
      </c>
      <c r="M13" s="11">
        <v>1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</row>
    <row r="14" spans="3:21" x14ac:dyDescent="0.35">
      <c r="C14" s="7">
        <f t="shared" si="3"/>
        <v>7</v>
      </c>
    </row>
    <row r="15" spans="3:21" x14ac:dyDescent="0.35">
      <c r="C15" s="7">
        <f t="shared" si="3"/>
        <v>8</v>
      </c>
      <c r="F15" s="1" t="s">
        <v>18</v>
      </c>
      <c r="H15" s="23">
        <v>0.15</v>
      </c>
      <c r="J15" s="11">
        <v>940</v>
      </c>
      <c r="K15" s="36">
        <f>J15*(1+$H15)</f>
        <v>1081</v>
      </c>
      <c r="L15" s="36">
        <f t="shared" ref="L15:S15" si="6">K15*(1+$H15)</f>
        <v>1243.1499999999999</v>
      </c>
      <c r="M15" s="36">
        <f t="shared" si="6"/>
        <v>1429.6224999999997</v>
      </c>
      <c r="N15" s="36">
        <f t="shared" si="6"/>
        <v>1644.0658749999996</v>
      </c>
      <c r="O15" s="36">
        <f t="shared" si="6"/>
        <v>1890.6757562499993</v>
      </c>
      <c r="P15" s="36">
        <f t="shared" si="6"/>
        <v>2174.2771196874992</v>
      </c>
      <c r="Q15" s="36">
        <f t="shared" si="6"/>
        <v>2500.4186876406238</v>
      </c>
      <c r="R15" s="36">
        <f t="shared" si="6"/>
        <v>2875.4814907867171</v>
      </c>
      <c r="S15" s="36">
        <f t="shared" si="6"/>
        <v>3306.8037144047244</v>
      </c>
      <c r="U15" s="1">
        <f>SUM(J15:S15)</f>
        <v>19085.495143769564</v>
      </c>
    </row>
    <row r="16" spans="3:21" x14ac:dyDescent="0.35">
      <c r="C16" s="7">
        <f t="shared" si="3"/>
        <v>9</v>
      </c>
      <c r="F16" s="1" t="s">
        <v>22</v>
      </c>
      <c r="H16" s="23">
        <v>0</v>
      </c>
      <c r="J16" s="11">
        <v>0</v>
      </c>
      <c r="K16" s="36">
        <f>J16*(1+$H16)</f>
        <v>0</v>
      </c>
      <c r="L16" s="36">
        <f t="shared" ref="L16:S16" si="7">K16*(1+$H16)</f>
        <v>0</v>
      </c>
      <c r="M16" s="36">
        <f t="shared" si="7"/>
        <v>0</v>
      </c>
      <c r="N16" s="36">
        <f t="shared" si="7"/>
        <v>0</v>
      </c>
      <c r="O16" s="36">
        <f t="shared" si="7"/>
        <v>0</v>
      </c>
      <c r="P16" s="36">
        <f t="shared" si="7"/>
        <v>0</v>
      </c>
      <c r="Q16" s="36">
        <f t="shared" si="7"/>
        <v>0</v>
      </c>
      <c r="R16" s="36">
        <f t="shared" si="7"/>
        <v>0</v>
      </c>
      <c r="S16" s="36">
        <f t="shared" si="7"/>
        <v>0</v>
      </c>
      <c r="U16" s="1">
        <f t="shared" ref="U16:U17" si="8">SUM(J16:S16)</f>
        <v>0</v>
      </c>
    </row>
    <row r="17" spans="3:21" x14ac:dyDescent="0.35">
      <c r="C17" s="7">
        <f t="shared" si="3"/>
        <v>10</v>
      </c>
      <c r="F17" s="1" t="s">
        <v>24</v>
      </c>
      <c r="H17" s="23">
        <v>0.03</v>
      </c>
      <c r="J17" s="11">
        <v>500</v>
      </c>
      <c r="K17" s="36">
        <f>J17*(1+$H17)</f>
        <v>515</v>
      </c>
      <c r="L17" s="36">
        <f t="shared" ref="L17:S17" si="9">K17*(1+$H17)</f>
        <v>530.45000000000005</v>
      </c>
      <c r="M17" s="36">
        <f t="shared" si="9"/>
        <v>546.36350000000004</v>
      </c>
      <c r="N17" s="36">
        <f t="shared" si="9"/>
        <v>562.75440500000002</v>
      </c>
      <c r="O17" s="36">
        <f t="shared" si="9"/>
        <v>579.63703715000008</v>
      </c>
      <c r="P17" s="36">
        <f t="shared" si="9"/>
        <v>597.02614826450008</v>
      </c>
      <c r="Q17" s="36">
        <f t="shared" si="9"/>
        <v>614.93693271243512</v>
      </c>
      <c r="R17" s="36">
        <f t="shared" si="9"/>
        <v>633.38504069380815</v>
      </c>
      <c r="S17" s="36">
        <f t="shared" si="9"/>
        <v>652.38659191462239</v>
      </c>
      <c r="U17" s="1">
        <f t="shared" si="8"/>
        <v>5731.9396557353666</v>
      </c>
    </row>
    <row r="18" spans="3:21" x14ac:dyDescent="0.35">
      <c r="C18" s="7">
        <f t="shared" si="3"/>
        <v>11</v>
      </c>
    </row>
    <row r="19" spans="3:21" x14ac:dyDescent="0.35">
      <c r="C19" s="7">
        <f t="shared" si="3"/>
        <v>12</v>
      </c>
      <c r="D19" s="3" t="s">
        <v>25</v>
      </c>
      <c r="E19" s="3"/>
    </row>
    <row r="20" spans="3:21" x14ac:dyDescent="0.35">
      <c r="C20" s="7">
        <f t="shared" si="3"/>
        <v>13</v>
      </c>
      <c r="D20" s="3"/>
      <c r="E20" s="8" t="s">
        <v>2</v>
      </c>
      <c r="H20" s="24"/>
    </row>
    <row r="21" spans="3:21" x14ac:dyDescent="0.35">
      <c r="C21" s="7">
        <f t="shared" si="3"/>
        <v>14</v>
      </c>
      <c r="F21" s="1" t="s">
        <v>18</v>
      </c>
      <c r="J21" s="21">
        <f>(J15*J$9)</f>
        <v>67680</v>
      </c>
      <c r="K21" s="21">
        <f t="shared" ref="K21:S21" si="10">(K15*K$9)</f>
        <v>78913</v>
      </c>
      <c r="L21" s="21">
        <f t="shared" si="10"/>
        <v>91993.099999999991</v>
      </c>
      <c r="M21" s="21">
        <f t="shared" si="10"/>
        <v>107221.68749999999</v>
      </c>
      <c r="N21" s="21">
        <f t="shared" si="10"/>
        <v>124949.00649999996</v>
      </c>
      <c r="O21" s="21">
        <f t="shared" si="10"/>
        <v>143691.35747499994</v>
      </c>
      <c r="P21" s="21">
        <f t="shared" si="10"/>
        <v>165245.06109624993</v>
      </c>
      <c r="Q21" s="21">
        <f t="shared" si="10"/>
        <v>190031.82026068741</v>
      </c>
      <c r="R21" s="21">
        <f t="shared" si="10"/>
        <v>218536.59329979049</v>
      </c>
      <c r="S21" s="21">
        <f t="shared" si="10"/>
        <v>251317.08229475905</v>
      </c>
      <c r="U21" s="1">
        <f>SUM(J21:R21)</f>
        <v>1188261.6261317276</v>
      </c>
    </row>
    <row r="22" spans="3:21" x14ac:dyDescent="0.35">
      <c r="C22" s="7">
        <f t="shared" si="3"/>
        <v>15</v>
      </c>
      <c r="F22" s="1" t="s">
        <v>26</v>
      </c>
      <c r="J22" s="21">
        <f>(J16*J$11)</f>
        <v>0</v>
      </c>
      <c r="K22" s="21">
        <f t="shared" ref="K22:S22" si="11">(K16*K$11)</f>
        <v>0</v>
      </c>
      <c r="L22" s="21">
        <f t="shared" si="11"/>
        <v>0</v>
      </c>
      <c r="M22" s="21">
        <f t="shared" si="11"/>
        <v>0</v>
      </c>
      <c r="N22" s="21">
        <f t="shared" si="11"/>
        <v>0</v>
      </c>
      <c r="O22" s="21">
        <f t="shared" si="11"/>
        <v>0</v>
      </c>
      <c r="P22" s="21">
        <f t="shared" si="11"/>
        <v>0</v>
      </c>
      <c r="Q22" s="21">
        <f t="shared" si="11"/>
        <v>0</v>
      </c>
      <c r="R22" s="21">
        <f t="shared" si="11"/>
        <v>0</v>
      </c>
      <c r="S22" s="21">
        <f t="shared" si="11"/>
        <v>0</v>
      </c>
      <c r="U22" s="1">
        <f>SUM(J22:R22)</f>
        <v>0</v>
      </c>
    </row>
    <row r="23" spans="3:21" x14ac:dyDescent="0.35">
      <c r="C23" s="7">
        <f t="shared" si="3"/>
        <v>16</v>
      </c>
      <c r="F23" s="1" t="s">
        <v>27</v>
      </c>
      <c r="H23" s="23">
        <v>0.03</v>
      </c>
      <c r="J23" s="11">
        <v>0</v>
      </c>
      <c r="K23" s="1">
        <f>J23*(1+$H23)</f>
        <v>0</v>
      </c>
      <c r="L23" s="1">
        <f t="shared" ref="L23:S25" si="12">K23*(1+$H23)</f>
        <v>0</v>
      </c>
      <c r="M23" s="1">
        <f t="shared" si="12"/>
        <v>0</v>
      </c>
      <c r="N23" s="1">
        <f t="shared" si="12"/>
        <v>0</v>
      </c>
      <c r="O23" s="1">
        <f t="shared" si="12"/>
        <v>0</v>
      </c>
      <c r="P23" s="1">
        <f t="shared" si="12"/>
        <v>0</v>
      </c>
      <c r="Q23" s="1">
        <f t="shared" si="12"/>
        <v>0</v>
      </c>
      <c r="R23" s="1">
        <f t="shared" si="12"/>
        <v>0</v>
      </c>
      <c r="S23" s="1">
        <f t="shared" si="12"/>
        <v>0</v>
      </c>
      <c r="U23" s="1">
        <f>SUM(J23:R23)</f>
        <v>0</v>
      </c>
    </row>
    <row r="24" spans="3:21" x14ac:dyDescent="0.35">
      <c r="C24" s="7">
        <f t="shared" si="3"/>
        <v>17</v>
      </c>
      <c r="F24" s="1" t="s">
        <v>75</v>
      </c>
      <c r="H24" s="25">
        <v>0.02</v>
      </c>
      <c r="J24" s="21">
        <f>-$H24*SUM(J21:J22)</f>
        <v>-1353.6000000000001</v>
      </c>
      <c r="K24" s="21">
        <f t="shared" ref="K24:S24" si="13">-$H24*SUM(K21:K22)</f>
        <v>-1578.26</v>
      </c>
      <c r="L24" s="21">
        <f t="shared" si="13"/>
        <v>-1839.8619999999999</v>
      </c>
      <c r="M24" s="21">
        <f t="shared" si="13"/>
        <v>-2144.4337499999997</v>
      </c>
      <c r="N24" s="21">
        <f t="shared" si="13"/>
        <v>-2498.9801299999995</v>
      </c>
      <c r="O24" s="21">
        <f t="shared" si="13"/>
        <v>-2873.827149499999</v>
      </c>
      <c r="P24" s="21">
        <f t="shared" si="13"/>
        <v>-3304.9012219249989</v>
      </c>
      <c r="Q24" s="21">
        <f t="shared" si="13"/>
        <v>-3800.6364052137483</v>
      </c>
      <c r="R24" s="21">
        <f t="shared" si="13"/>
        <v>-4370.73186599581</v>
      </c>
      <c r="S24" s="21">
        <f t="shared" si="13"/>
        <v>-5026.3416458951815</v>
      </c>
    </row>
    <row r="25" spans="3:21" x14ac:dyDescent="0.35">
      <c r="C25" s="7">
        <f t="shared" si="3"/>
        <v>18</v>
      </c>
      <c r="F25" s="1" t="s">
        <v>28</v>
      </c>
      <c r="H25" s="23">
        <v>0.03</v>
      </c>
      <c r="J25" s="12">
        <v>0</v>
      </c>
      <c r="K25" s="2">
        <f>J25*(1+$H25)</f>
        <v>0</v>
      </c>
      <c r="L25" s="2">
        <f t="shared" si="12"/>
        <v>0</v>
      </c>
      <c r="M25" s="2">
        <f t="shared" si="12"/>
        <v>0</v>
      </c>
      <c r="N25" s="2">
        <f t="shared" si="12"/>
        <v>0</v>
      </c>
      <c r="O25" s="2">
        <f t="shared" si="12"/>
        <v>0</v>
      </c>
      <c r="P25" s="2">
        <f t="shared" si="12"/>
        <v>0</v>
      </c>
      <c r="Q25" s="2">
        <f t="shared" si="12"/>
        <v>0</v>
      </c>
      <c r="R25" s="2">
        <f t="shared" si="12"/>
        <v>0</v>
      </c>
      <c r="S25" s="2">
        <f t="shared" si="12"/>
        <v>0</v>
      </c>
      <c r="U25" s="2">
        <f>SUM(J25:R25)</f>
        <v>0</v>
      </c>
    </row>
    <row r="26" spans="3:21" x14ac:dyDescent="0.35">
      <c r="C26" s="7">
        <f t="shared" si="3"/>
        <v>19</v>
      </c>
      <c r="F26" s="1" t="s">
        <v>29</v>
      </c>
      <c r="J26" s="1">
        <f>SUM(J21:J25)</f>
        <v>66326.399999999994</v>
      </c>
      <c r="K26" s="1">
        <f t="shared" ref="K26:S26" si="14">SUM(K21:K25)</f>
        <v>77334.740000000005</v>
      </c>
      <c r="L26" s="1">
        <f t="shared" si="14"/>
        <v>90153.237999999998</v>
      </c>
      <c r="M26" s="1">
        <f t="shared" si="14"/>
        <v>105077.25374999999</v>
      </c>
      <c r="N26" s="1">
        <f t="shared" si="14"/>
        <v>122450.02636999996</v>
      </c>
      <c r="O26" s="1">
        <f t="shared" si="14"/>
        <v>140817.53032549995</v>
      </c>
      <c r="P26" s="1">
        <f t="shared" si="14"/>
        <v>161940.15987432495</v>
      </c>
      <c r="Q26" s="1">
        <f t="shared" si="14"/>
        <v>186231.18385547368</v>
      </c>
      <c r="R26" s="1">
        <f t="shared" si="14"/>
        <v>214165.86143379469</v>
      </c>
      <c r="S26" s="1">
        <f t="shared" si="14"/>
        <v>246290.74064886387</v>
      </c>
      <c r="U26" s="1">
        <f t="shared" ref="U26" si="15">SUM(J26:S26)</f>
        <v>1410787.1342579569</v>
      </c>
    </row>
    <row r="27" spans="3:21" x14ac:dyDescent="0.35">
      <c r="C27" s="7">
        <f t="shared" si="3"/>
        <v>20</v>
      </c>
    </row>
    <row r="28" spans="3:21" x14ac:dyDescent="0.35">
      <c r="C28" s="7">
        <f t="shared" si="3"/>
        <v>21</v>
      </c>
      <c r="E28" s="8" t="s">
        <v>3</v>
      </c>
      <c r="H28" s="24"/>
    </row>
    <row r="29" spans="3:21" x14ac:dyDescent="0.35">
      <c r="C29" s="7">
        <f t="shared" si="3"/>
        <v>22</v>
      </c>
      <c r="F29" s="1" t="s">
        <v>30</v>
      </c>
      <c r="H29" s="23">
        <v>0.03</v>
      </c>
      <c r="J29" s="11">
        <v>0</v>
      </c>
      <c r="K29" s="1">
        <f>J29*(1+$H29)</f>
        <v>0</v>
      </c>
      <c r="L29" s="1">
        <f t="shared" ref="L29:S29" si="16">K29*(1+$H29)</f>
        <v>0</v>
      </c>
      <c r="M29" s="1">
        <f t="shared" si="16"/>
        <v>0</v>
      </c>
      <c r="N29" s="1">
        <f t="shared" si="16"/>
        <v>0</v>
      </c>
      <c r="O29" s="1">
        <f t="shared" si="16"/>
        <v>0</v>
      </c>
      <c r="P29" s="1">
        <f t="shared" si="16"/>
        <v>0</v>
      </c>
      <c r="Q29" s="1">
        <f t="shared" si="16"/>
        <v>0</v>
      </c>
      <c r="R29" s="1">
        <f t="shared" si="16"/>
        <v>0</v>
      </c>
      <c r="S29" s="1">
        <f t="shared" si="16"/>
        <v>0</v>
      </c>
      <c r="U29" s="1">
        <f>SUM(J29:S29)</f>
        <v>0</v>
      </c>
    </row>
    <row r="30" spans="3:21" x14ac:dyDescent="0.35">
      <c r="C30" s="7">
        <f t="shared" si="3"/>
        <v>23</v>
      </c>
      <c r="F30" s="1" t="s">
        <v>31</v>
      </c>
      <c r="H30" s="23">
        <v>0.03</v>
      </c>
      <c r="J30" s="11">
        <v>0</v>
      </c>
      <c r="K30" s="1">
        <f t="shared" ref="K30:S41" si="17">J30*(1+$H30)</f>
        <v>0</v>
      </c>
      <c r="L30" s="1">
        <f t="shared" si="17"/>
        <v>0</v>
      </c>
      <c r="M30" s="1">
        <f t="shared" si="17"/>
        <v>0</v>
      </c>
      <c r="N30" s="1">
        <f t="shared" si="17"/>
        <v>0</v>
      </c>
      <c r="O30" s="1">
        <f t="shared" si="17"/>
        <v>0</v>
      </c>
      <c r="P30" s="1">
        <f t="shared" si="17"/>
        <v>0</v>
      </c>
      <c r="Q30" s="1">
        <f t="shared" si="17"/>
        <v>0</v>
      </c>
      <c r="R30" s="1">
        <f t="shared" si="17"/>
        <v>0</v>
      </c>
      <c r="S30" s="1">
        <f t="shared" si="17"/>
        <v>0</v>
      </c>
      <c r="U30" s="1">
        <f t="shared" ref="U30:U41" si="18">SUM(J30:S30)</f>
        <v>0</v>
      </c>
    </row>
    <row r="31" spans="3:21" x14ac:dyDescent="0.35">
      <c r="C31" s="7">
        <f t="shared" si="3"/>
        <v>24</v>
      </c>
      <c r="F31" s="1" t="s">
        <v>32</v>
      </c>
      <c r="H31" s="23">
        <v>0.03</v>
      </c>
      <c r="J31" s="11">
        <v>6000</v>
      </c>
      <c r="K31" s="1">
        <f t="shared" si="17"/>
        <v>6180</v>
      </c>
      <c r="L31" s="1">
        <f t="shared" si="17"/>
        <v>6365.4000000000005</v>
      </c>
      <c r="M31" s="1">
        <f t="shared" si="17"/>
        <v>6556.362000000001</v>
      </c>
      <c r="N31" s="1">
        <f t="shared" si="17"/>
        <v>6753.0528600000016</v>
      </c>
      <c r="O31" s="1">
        <f t="shared" si="17"/>
        <v>6955.6444458000014</v>
      </c>
      <c r="P31" s="1">
        <f t="shared" si="17"/>
        <v>7164.3137791740019</v>
      </c>
      <c r="Q31" s="1">
        <f t="shared" si="17"/>
        <v>7379.2431925492219</v>
      </c>
      <c r="R31" s="1">
        <f t="shared" si="17"/>
        <v>7600.6204883256987</v>
      </c>
      <c r="S31" s="1">
        <f t="shared" si="17"/>
        <v>7828.6391029754695</v>
      </c>
      <c r="U31" s="1">
        <f t="shared" si="18"/>
        <v>68783.275868824407</v>
      </c>
    </row>
    <row r="32" spans="3:21" x14ac:dyDescent="0.35">
      <c r="C32" s="7">
        <f t="shared" si="3"/>
        <v>25</v>
      </c>
      <c r="F32" s="1" t="s">
        <v>109</v>
      </c>
      <c r="H32" s="23">
        <v>0.03</v>
      </c>
      <c r="J32" s="11">
        <f>12500+1000+2500</f>
        <v>16000</v>
      </c>
      <c r="K32" s="1">
        <f t="shared" si="17"/>
        <v>16480</v>
      </c>
      <c r="L32" s="1">
        <f t="shared" si="17"/>
        <v>16974.400000000001</v>
      </c>
      <c r="M32" s="1">
        <f t="shared" si="17"/>
        <v>17483.632000000001</v>
      </c>
      <c r="N32" s="1">
        <f t="shared" si="17"/>
        <v>18008.140960000001</v>
      </c>
      <c r="O32" s="1">
        <f t="shared" si="17"/>
        <v>18548.385188800003</v>
      </c>
      <c r="P32" s="1">
        <f t="shared" si="17"/>
        <v>19104.836744464003</v>
      </c>
      <c r="Q32" s="1">
        <f t="shared" si="17"/>
        <v>19677.981846797924</v>
      </c>
      <c r="R32" s="1">
        <f t="shared" si="17"/>
        <v>20268.321302201861</v>
      </c>
      <c r="S32" s="1">
        <f t="shared" si="17"/>
        <v>20876.370941267916</v>
      </c>
      <c r="U32" s="1">
        <f t="shared" si="18"/>
        <v>183422.06898353173</v>
      </c>
    </row>
    <row r="33" spans="3:21" x14ac:dyDescent="0.35">
      <c r="C33" s="7">
        <f t="shared" si="3"/>
        <v>26</v>
      </c>
      <c r="F33" s="1" t="s">
        <v>84</v>
      </c>
      <c r="H33" s="23">
        <v>0.03</v>
      </c>
      <c r="J33" s="11">
        <v>0</v>
      </c>
      <c r="K33" s="1">
        <f t="shared" ref="K33" si="19">J33*(1+$H33)</f>
        <v>0</v>
      </c>
      <c r="L33" s="1">
        <f t="shared" ref="L33" si="20">K33*(1+$H33)</f>
        <v>0</v>
      </c>
      <c r="M33" s="1">
        <f t="shared" ref="M33" si="21">L33*(1+$H33)</f>
        <v>0</v>
      </c>
      <c r="N33" s="1">
        <f t="shared" ref="N33" si="22">M33*(1+$H33)</f>
        <v>0</v>
      </c>
      <c r="O33" s="1">
        <f t="shared" ref="O33" si="23">N33*(1+$H33)</f>
        <v>0</v>
      </c>
      <c r="P33" s="1">
        <f t="shared" ref="P33" si="24">O33*(1+$H33)</f>
        <v>0</v>
      </c>
      <c r="Q33" s="1">
        <f t="shared" ref="Q33" si="25">P33*(1+$H33)</f>
        <v>0</v>
      </c>
      <c r="R33" s="1">
        <f t="shared" ref="R33" si="26">Q33*(1+$H33)</f>
        <v>0</v>
      </c>
      <c r="S33" s="1">
        <f t="shared" ref="S33" si="27">R33*(1+$H33)</f>
        <v>0</v>
      </c>
      <c r="U33" s="1">
        <f t="shared" ref="U33" si="28">SUM(J33:S33)</f>
        <v>0</v>
      </c>
    </row>
    <row r="34" spans="3:21" x14ac:dyDescent="0.35">
      <c r="C34" s="7">
        <f t="shared" si="3"/>
        <v>27</v>
      </c>
      <c r="F34" s="1" t="s">
        <v>81</v>
      </c>
      <c r="H34" s="23">
        <v>0.03</v>
      </c>
      <c r="J34" s="11">
        <v>1750</v>
      </c>
      <c r="K34" s="1">
        <f t="shared" si="17"/>
        <v>1802.5</v>
      </c>
      <c r="L34" s="1">
        <f t="shared" si="17"/>
        <v>1856.575</v>
      </c>
      <c r="M34" s="1">
        <f t="shared" si="17"/>
        <v>1912.27225</v>
      </c>
      <c r="N34" s="1">
        <f t="shared" si="17"/>
        <v>1969.6404175</v>
      </c>
      <c r="O34" s="1">
        <f t="shared" si="17"/>
        <v>2028.729630025</v>
      </c>
      <c r="P34" s="1">
        <f t="shared" si="17"/>
        <v>2089.5915189257503</v>
      </c>
      <c r="Q34" s="1">
        <f t="shared" si="17"/>
        <v>2152.279264493523</v>
      </c>
      <c r="R34" s="1">
        <f t="shared" si="17"/>
        <v>2216.8476424283285</v>
      </c>
      <c r="S34" s="1">
        <f t="shared" si="17"/>
        <v>2283.3530717011786</v>
      </c>
      <c r="U34" s="1">
        <f t="shared" si="18"/>
        <v>20061.788795073779</v>
      </c>
    </row>
    <row r="35" spans="3:21" x14ac:dyDescent="0.35">
      <c r="C35" s="7">
        <f t="shared" si="3"/>
        <v>28</v>
      </c>
      <c r="F35" s="1" t="s">
        <v>33</v>
      </c>
      <c r="H35" s="23">
        <v>0.03</v>
      </c>
      <c r="J35" s="11">
        <v>1500</v>
      </c>
      <c r="K35" s="1">
        <f t="shared" si="17"/>
        <v>1545</v>
      </c>
      <c r="L35" s="1">
        <f t="shared" si="17"/>
        <v>1591.3500000000001</v>
      </c>
      <c r="M35" s="1">
        <f t="shared" si="17"/>
        <v>1639.0905000000002</v>
      </c>
      <c r="N35" s="1">
        <f t="shared" si="17"/>
        <v>1688.2632150000004</v>
      </c>
      <c r="O35" s="1">
        <f t="shared" si="17"/>
        <v>1738.9111114500004</v>
      </c>
      <c r="P35" s="1">
        <f t="shared" si="17"/>
        <v>1791.0784447935005</v>
      </c>
      <c r="Q35" s="1">
        <f t="shared" si="17"/>
        <v>1844.8107981373055</v>
      </c>
      <c r="R35" s="1">
        <f t="shared" si="17"/>
        <v>1900.1551220814247</v>
      </c>
      <c r="S35" s="1">
        <f t="shared" si="17"/>
        <v>1957.1597757438674</v>
      </c>
      <c r="U35" s="1">
        <f t="shared" si="18"/>
        <v>17195.818967206102</v>
      </c>
    </row>
    <row r="36" spans="3:21" x14ac:dyDescent="0.35">
      <c r="C36" s="7">
        <f t="shared" si="3"/>
        <v>29</v>
      </c>
      <c r="F36" s="1" t="s">
        <v>34</v>
      </c>
      <c r="H36" s="23">
        <v>0.03</v>
      </c>
      <c r="J36" s="11">
        <v>0</v>
      </c>
      <c r="K36" s="1">
        <f t="shared" si="17"/>
        <v>0</v>
      </c>
      <c r="L36" s="1">
        <f t="shared" si="17"/>
        <v>0</v>
      </c>
      <c r="M36" s="1">
        <f t="shared" si="17"/>
        <v>0</v>
      </c>
      <c r="N36" s="1">
        <f t="shared" si="17"/>
        <v>0</v>
      </c>
      <c r="O36" s="1">
        <f t="shared" si="17"/>
        <v>0</v>
      </c>
      <c r="P36" s="1">
        <f t="shared" si="17"/>
        <v>0</v>
      </c>
      <c r="Q36" s="1">
        <f t="shared" si="17"/>
        <v>0</v>
      </c>
      <c r="R36" s="1">
        <f t="shared" si="17"/>
        <v>0</v>
      </c>
      <c r="S36" s="1">
        <f t="shared" si="17"/>
        <v>0</v>
      </c>
      <c r="U36" s="1">
        <f t="shared" si="18"/>
        <v>0</v>
      </c>
    </row>
    <row r="37" spans="3:21" x14ac:dyDescent="0.35">
      <c r="C37" s="7">
        <f t="shared" si="3"/>
        <v>30</v>
      </c>
      <c r="F37" s="1" t="s">
        <v>110</v>
      </c>
      <c r="H37" s="23">
        <v>0.03</v>
      </c>
      <c r="J37" s="11">
        <v>0</v>
      </c>
      <c r="K37" s="1">
        <f t="shared" si="17"/>
        <v>0</v>
      </c>
      <c r="L37" s="1">
        <f t="shared" si="17"/>
        <v>0</v>
      </c>
      <c r="M37" s="1">
        <f t="shared" si="17"/>
        <v>0</v>
      </c>
      <c r="N37" s="1">
        <f t="shared" si="17"/>
        <v>0</v>
      </c>
      <c r="O37" s="1">
        <f t="shared" si="17"/>
        <v>0</v>
      </c>
      <c r="P37" s="1">
        <f t="shared" si="17"/>
        <v>0</v>
      </c>
      <c r="Q37" s="1">
        <f t="shared" si="17"/>
        <v>0</v>
      </c>
      <c r="R37" s="1">
        <f t="shared" si="17"/>
        <v>0</v>
      </c>
      <c r="S37" s="1">
        <f t="shared" si="17"/>
        <v>0</v>
      </c>
      <c r="U37" s="1">
        <f t="shared" si="18"/>
        <v>0</v>
      </c>
    </row>
    <row r="38" spans="3:21" x14ac:dyDescent="0.35">
      <c r="C38" s="7">
        <f t="shared" si="3"/>
        <v>31</v>
      </c>
      <c r="F38" s="1" t="s">
        <v>35</v>
      </c>
      <c r="H38" s="23">
        <v>0.03</v>
      </c>
      <c r="J38" s="11">
        <v>500</v>
      </c>
      <c r="K38" s="1">
        <f t="shared" si="17"/>
        <v>515</v>
      </c>
      <c r="L38" s="1">
        <f t="shared" si="17"/>
        <v>530.45000000000005</v>
      </c>
      <c r="M38" s="1">
        <f t="shared" si="17"/>
        <v>546.36350000000004</v>
      </c>
      <c r="N38" s="1">
        <f t="shared" si="17"/>
        <v>562.75440500000002</v>
      </c>
      <c r="O38" s="1">
        <f t="shared" si="17"/>
        <v>579.63703715000008</v>
      </c>
      <c r="P38" s="1">
        <f t="shared" si="17"/>
        <v>597.02614826450008</v>
      </c>
      <c r="Q38" s="1">
        <f t="shared" si="17"/>
        <v>614.93693271243512</v>
      </c>
      <c r="R38" s="1">
        <f t="shared" si="17"/>
        <v>633.38504069380815</v>
      </c>
      <c r="S38" s="1">
        <f t="shared" si="17"/>
        <v>652.38659191462239</v>
      </c>
      <c r="U38" s="1">
        <f t="shared" si="18"/>
        <v>5731.9396557353666</v>
      </c>
    </row>
    <row r="39" spans="3:21" x14ac:dyDescent="0.35">
      <c r="C39" s="7">
        <f t="shared" si="3"/>
        <v>32</v>
      </c>
      <c r="F39" s="1" t="s">
        <v>36</v>
      </c>
      <c r="H39" s="23">
        <v>0.03</v>
      </c>
      <c r="J39" s="11">
        <v>8750</v>
      </c>
      <c r="K39" s="1">
        <f t="shared" si="17"/>
        <v>9012.5</v>
      </c>
      <c r="L39" s="1">
        <f t="shared" si="17"/>
        <v>9282.875</v>
      </c>
      <c r="M39" s="1">
        <f t="shared" si="17"/>
        <v>9561.3612499999999</v>
      </c>
      <c r="N39" s="1">
        <f t="shared" si="17"/>
        <v>9848.2020874999998</v>
      </c>
      <c r="O39" s="1">
        <f t="shared" si="17"/>
        <v>10143.648150125</v>
      </c>
      <c r="P39" s="1">
        <f t="shared" si="17"/>
        <v>10447.95759462875</v>
      </c>
      <c r="Q39" s="1">
        <f t="shared" si="17"/>
        <v>10761.396322467612</v>
      </c>
      <c r="R39" s="1">
        <f t="shared" si="17"/>
        <v>11084.238212141641</v>
      </c>
      <c r="S39" s="1">
        <f t="shared" si="17"/>
        <v>11416.765358505891</v>
      </c>
      <c r="U39" s="1">
        <f t="shared" si="18"/>
        <v>100308.94397536889</v>
      </c>
    </row>
    <row r="40" spans="3:21" x14ac:dyDescent="0.35">
      <c r="C40" s="7">
        <f t="shared" si="3"/>
        <v>33</v>
      </c>
      <c r="F40" s="1" t="s">
        <v>37</v>
      </c>
      <c r="H40" s="23">
        <v>0.03</v>
      </c>
      <c r="J40" s="11">
        <v>0</v>
      </c>
      <c r="K40" s="1">
        <f t="shared" si="17"/>
        <v>0</v>
      </c>
      <c r="L40" s="1">
        <f t="shared" si="17"/>
        <v>0</v>
      </c>
      <c r="M40" s="1">
        <f t="shared" si="17"/>
        <v>0</v>
      </c>
      <c r="N40" s="1">
        <f t="shared" si="17"/>
        <v>0</v>
      </c>
      <c r="O40" s="1">
        <f t="shared" si="17"/>
        <v>0</v>
      </c>
      <c r="P40" s="1">
        <f t="shared" si="17"/>
        <v>0</v>
      </c>
      <c r="Q40" s="1">
        <f t="shared" si="17"/>
        <v>0</v>
      </c>
      <c r="R40" s="1">
        <f t="shared" si="17"/>
        <v>0</v>
      </c>
      <c r="S40" s="1">
        <f t="shared" si="17"/>
        <v>0</v>
      </c>
      <c r="U40" s="1">
        <f t="shared" si="18"/>
        <v>0</v>
      </c>
    </row>
    <row r="41" spans="3:21" x14ac:dyDescent="0.35">
      <c r="C41" s="7">
        <f t="shared" si="3"/>
        <v>34</v>
      </c>
      <c r="F41" s="1" t="s">
        <v>28</v>
      </c>
      <c r="H41" s="23">
        <v>0.03</v>
      </c>
      <c r="J41" s="12">
        <f>1750+900+100+1200</f>
        <v>3950</v>
      </c>
      <c r="K41" s="2">
        <f t="shared" si="17"/>
        <v>4068.5</v>
      </c>
      <c r="L41" s="2">
        <f t="shared" si="17"/>
        <v>4190.5550000000003</v>
      </c>
      <c r="M41" s="2">
        <f t="shared" si="17"/>
        <v>4316.2716500000006</v>
      </c>
      <c r="N41" s="2">
        <f t="shared" si="17"/>
        <v>4445.7597995000006</v>
      </c>
      <c r="O41" s="2">
        <f t="shared" si="17"/>
        <v>4579.1325934850011</v>
      </c>
      <c r="P41" s="2">
        <f t="shared" si="17"/>
        <v>4716.5065712895512</v>
      </c>
      <c r="Q41" s="2">
        <f t="shared" si="17"/>
        <v>4858.0017684282375</v>
      </c>
      <c r="R41" s="2">
        <f t="shared" si="17"/>
        <v>5003.741821481085</v>
      </c>
      <c r="S41" s="2">
        <f t="shared" si="17"/>
        <v>5153.8540761255181</v>
      </c>
      <c r="U41" s="2">
        <f t="shared" si="18"/>
        <v>45282.323280309392</v>
      </c>
    </row>
    <row r="42" spans="3:21" x14ac:dyDescent="0.35">
      <c r="C42" s="7">
        <f t="shared" si="3"/>
        <v>35</v>
      </c>
      <c r="F42" s="1" t="s">
        <v>38</v>
      </c>
      <c r="J42" s="1">
        <f>SUM(J28:J41)</f>
        <v>38450</v>
      </c>
      <c r="K42" s="1">
        <f t="shared" ref="K42:S42" si="29">SUM(K29:K41)</f>
        <v>39603.5</v>
      </c>
      <c r="L42" s="1">
        <f t="shared" si="29"/>
        <v>40791.605000000003</v>
      </c>
      <c r="M42" s="1">
        <f t="shared" si="29"/>
        <v>42015.353150000003</v>
      </c>
      <c r="N42" s="1">
        <f t="shared" si="29"/>
        <v>43275.813744500003</v>
      </c>
      <c r="O42" s="1">
        <f t="shared" si="29"/>
        <v>44574.088156835009</v>
      </c>
      <c r="P42" s="1">
        <f t="shared" si="29"/>
        <v>45911.310801540058</v>
      </c>
      <c r="Q42" s="1">
        <f t="shared" si="29"/>
        <v>47288.65012558626</v>
      </c>
      <c r="R42" s="1">
        <f t="shared" si="29"/>
        <v>48707.309629353847</v>
      </c>
      <c r="S42" s="1">
        <f t="shared" si="29"/>
        <v>50168.528918234464</v>
      </c>
      <c r="U42" s="1">
        <f t="shared" ref="U42" si="30">SUM(J42:S42)</f>
        <v>440786.15952604963</v>
      </c>
    </row>
    <row r="43" spans="3:21" x14ac:dyDescent="0.35">
      <c r="C43" s="7">
        <f t="shared" si="3"/>
        <v>36</v>
      </c>
    </row>
    <row r="44" spans="3:21" x14ac:dyDescent="0.35">
      <c r="C44" s="7">
        <f t="shared" si="3"/>
        <v>37</v>
      </c>
      <c r="E44" s="8" t="s">
        <v>6</v>
      </c>
    </row>
    <row r="45" spans="3:21" x14ac:dyDescent="0.35">
      <c r="C45" s="7">
        <f t="shared" si="3"/>
        <v>38</v>
      </c>
      <c r="F45" s="1" t="s">
        <v>39</v>
      </c>
      <c r="H45" s="30">
        <v>0.04</v>
      </c>
      <c r="J45" s="11">
        <v>3000</v>
      </c>
      <c r="K45" s="1">
        <f>IF(($H45*(J$61/2))&gt;0,$H45*(J$61/2),0)</f>
        <v>350</v>
      </c>
      <c r="L45" s="1">
        <f t="shared" ref="L45:S45" ca="1" si="31">IF(($H45*(K$61/2))&gt;0,$H45*(K$61/2),0)</f>
        <v>572.25632000000019</v>
      </c>
      <c r="M45" s="1">
        <f t="shared" ca="1" si="31"/>
        <v>794.14687906699669</v>
      </c>
      <c r="N45" s="1">
        <f t="shared" ca="1" si="31"/>
        <v>1266.6044579971988</v>
      </c>
      <c r="O45" s="1">
        <f t="shared" ca="1" si="31"/>
        <v>2038.6806168071444</v>
      </c>
      <c r="P45" s="1">
        <f t="shared" ca="1" si="31"/>
        <v>3131.9002782526386</v>
      </c>
      <c r="Q45" s="1">
        <f t="shared" ca="1" si="31"/>
        <v>3098.5146369685804</v>
      </c>
      <c r="R45" s="1">
        <f t="shared" ca="1" si="31"/>
        <v>3476.9743779692549</v>
      </c>
      <c r="S45" s="1">
        <f t="shared" ca="1" si="31"/>
        <v>4339.5347196499024</v>
      </c>
      <c r="U45" s="1">
        <f t="shared" ref="U45:U50" ca="1" si="32">SUM(J45:S45)</f>
        <v>22068.612286711719</v>
      </c>
    </row>
    <row r="46" spans="3:21" x14ac:dyDescent="0.35">
      <c r="C46" s="7">
        <f t="shared" si="3"/>
        <v>39</v>
      </c>
      <c r="F46" s="1" t="s">
        <v>40</v>
      </c>
      <c r="J46" s="1">
        <f>J$13*J$17</f>
        <v>500</v>
      </c>
      <c r="K46" s="1">
        <f t="shared" ref="K46:S46" si="33">K$13*K$17</f>
        <v>515</v>
      </c>
      <c r="L46" s="1">
        <f t="shared" si="33"/>
        <v>530.45000000000005</v>
      </c>
      <c r="M46" s="1">
        <f t="shared" si="33"/>
        <v>546.36350000000004</v>
      </c>
      <c r="N46" s="1">
        <f t="shared" si="33"/>
        <v>0</v>
      </c>
      <c r="O46" s="1">
        <f t="shared" si="33"/>
        <v>0</v>
      </c>
      <c r="P46" s="1">
        <f t="shared" si="33"/>
        <v>0</v>
      </c>
      <c r="Q46" s="1">
        <f t="shared" si="33"/>
        <v>0</v>
      </c>
      <c r="R46" s="1">
        <f t="shared" si="33"/>
        <v>0</v>
      </c>
      <c r="S46" s="1">
        <f t="shared" si="33"/>
        <v>0</v>
      </c>
      <c r="U46" s="1">
        <f t="shared" si="32"/>
        <v>2091.8135000000002</v>
      </c>
    </row>
    <row r="47" spans="3:21" x14ac:dyDescent="0.35">
      <c r="C47" s="7">
        <f t="shared" si="3"/>
        <v>40</v>
      </c>
      <c r="F47" s="1" t="s">
        <v>76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U47" s="11">
        <f t="shared" si="32"/>
        <v>0</v>
      </c>
    </row>
    <row r="48" spans="3:21" x14ac:dyDescent="0.35">
      <c r="C48" s="7">
        <f t="shared" si="3"/>
        <v>41</v>
      </c>
      <c r="F48" s="1" t="s">
        <v>77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U48" s="11">
        <f t="shared" si="32"/>
        <v>0</v>
      </c>
    </row>
    <row r="49" spans="3:21" x14ac:dyDescent="0.35">
      <c r="C49" s="7">
        <f t="shared" si="3"/>
        <v>42</v>
      </c>
      <c r="F49" s="1" t="s">
        <v>28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U49" s="9">
        <f t="shared" si="32"/>
        <v>0</v>
      </c>
    </row>
    <row r="50" spans="3:21" x14ac:dyDescent="0.35">
      <c r="C50" s="7">
        <f t="shared" si="3"/>
        <v>43</v>
      </c>
      <c r="F50" s="1" t="s">
        <v>44</v>
      </c>
      <c r="J50" s="1">
        <f>SUM(J45:J49)</f>
        <v>3500</v>
      </c>
      <c r="K50" s="1">
        <f t="shared" ref="K50:S50" si="34">SUM(K45:K49)</f>
        <v>865</v>
      </c>
      <c r="L50" s="1">
        <f t="shared" ca="1" si="34"/>
        <v>1102.7063200000002</v>
      </c>
      <c r="M50" s="1">
        <f t="shared" ca="1" si="34"/>
        <v>1340.5103790669968</v>
      </c>
      <c r="N50" s="1">
        <f t="shared" ca="1" si="34"/>
        <v>1266.6044579971988</v>
      </c>
      <c r="O50" s="1">
        <f t="shared" ca="1" si="34"/>
        <v>2038.6806168071444</v>
      </c>
      <c r="P50" s="1">
        <f t="shared" ca="1" si="34"/>
        <v>3131.9002782526386</v>
      </c>
      <c r="Q50" s="1">
        <f t="shared" ca="1" si="34"/>
        <v>3098.5146369685804</v>
      </c>
      <c r="R50" s="1">
        <f t="shared" ca="1" si="34"/>
        <v>3476.9743779692549</v>
      </c>
      <c r="S50" s="1">
        <f t="shared" ca="1" si="34"/>
        <v>4339.5347196499024</v>
      </c>
      <c r="U50" s="1">
        <f t="shared" ca="1" si="32"/>
        <v>24160.425786711716</v>
      </c>
    </row>
    <row r="51" spans="3:21" x14ac:dyDescent="0.35">
      <c r="C51" s="7">
        <f t="shared" si="3"/>
        <v>44</v>
      </c>
    </row>
    <row r="52" spans="3:21" x14ac:dyDescent="0.35">
      <c r="C52" s="7">
        <f t="shared" si="3"/>
        <v>45</v>
      </c>
      <c r="F52" s="1" t="s">
        <v>4</v>
      </c>
      <c r="H52" s="24"/>
      <c r="J52" s="1">
        <f t="shared" ref="J52:S52" si="35">SUM(J26,-J42,J50)</f>
        <v>31376.399999999994</v>
      </c>
      <c r="K52" s="1">
        <f t="shared" si="35"/>
        <v>38596.240000000005</v>
      </c>
      <c r="L52" s="1">
        <f t="shared" ca="1" si="35"/>
        <v>50464.339319999992</v>
      </c>
      <c r="M52" s="1">
        <f t="shared" ca="1" si="35"/>
        <v>64402.410979066983</v>
      </c>
      <c r="N52" s="1">
        <f t="shared" ca="1" si="35"/>
        <v>80440.817083497153</v>
      </c>
      <c r="O52" s="1">
        <f t="shared" ca="1" si="35"/>
        <v>98282.122785472093</v>
      </c>
      <c r="P52" s="1">
        <f t="shared" ca="1" si="35"/>
        <v>119160.74935103752</v>
      </c>
      <c r="Q52" s="1">
        <f t="shared" ca="1" si="35"/>
        <v>142041.048366856</v>
      </c>
      <c r="R52" s="1">
        <f t="shared" ca="1" si="35"/>
        <v>168935.5261824101</v>
      </c>
      <c r="S52" s="1">
        <f t="shared" ca="1" si="35"/>
        <v>200461.74645027932</v>
      </c>
      <c r="U52" s="1">
        <f t="shared" ref="U52:U57" ca="1" si="36">SUM(J52:S52)</f>
        <v>994161.40051861922</v>
      </c>
    </row>
    <row r="53" spans="3:21" x14ac:dyDescent="0.35">
      <c r="C53" s="7">
        <f t="shared" si="3"/>
        <v>46</v>
      </c>
      <c r="H53" s="24"/>
    </row>
    <row r="54" spans="3:21" x14ac:dyDescent="0.35">
      <c r="C54" s="7">
        <f t="shared" si="3"/>
        <v>47</v>
      </c>
      <c r="F54" s="1" t="s">
        <v>41</v>
      </c>
      <c r="J54" s="1">
        <f ca="1">OFFSET('Debt Profile'!$S$15,(1+'Financial Projection'!J$6-'Financial Projection'!$J$6),0)</f>
        <v>21008</v>
      </c>
      <c r="K54" s="1">
        <f ca="1">OFFSET('Debt Profile'!$S$15,(1+'Financial Projection'!K$6-'Financial Projection'!$J$6),0)</f>
        <v>21008</v>
      </c>
      <c r="L54" s="1">
        <f ca="1">OFFSET('Debt Profile'!$S$15,(1+'Financial Projection'!L$6-'Financial Projection'!$J$6),0)</f>
        <v>30720.843122409249</v>
      </c>
      <c r="M54" s="1">
        <f ca="1">OFFSET('Debt Profile'!$S$15,(1+'Financial Projection'!M$6-'Financial Projection'!$J$6),0)</f>
        <v>30720.843122409249</v>
      </c>
      <c r="N54" s="1">
        <f ca="1">OFFSET('Debt Profile'!$S$15,(1+'Financial Projection'!N$6-'Financial Projection'!$J$6),0)</f>
        <v>30720.843122409249</v>
      </c>
      <c r="O54" s="1">
        <f ca="1">OFFSET('Debt Profile'!$S$15,(1+'Financial Projection'!O$6-'Financial Projection'!$J$6),0)</f>
        <v>30720.843122409249</v>
      </c>
      <c r="P54" s="1">
        <f ca="1">OFFSET('Debt Profile'!$S$15,(1+'Financial Projection'!P$6-'Financial Projection'!$J$6),0)</f>
        <v>99012.68770921517</v>
      </c>
      <c r="Q54" s="1">
        <f ca="1">OFFSET('Debt Profile'!$S$15,(1+'Financial Projection'!Q$6-'Financial Projection'!$J$6),0)</f>
        <v>99012.68770921517</v>
      </c>
      <c r="R54" s="1">
        <f ca="1">OFFSET('Debt Profile'!$S$15,(1+'Financial Projection'!R$6-'Financial Projection'!$J$6),0)</f>
        <v>99012.68770921517</v>
      </c>
      <c r="S54" s="1">
        <f ca="1">OFFSET('Debt Profile'!$S$15,(1+'Financial Projection'!S$6-'Financial Projection'!$J$6),0)</f>
        <v>99012.68770921517</v>
      </c>
      <c r="U54" s="1">
        <f t="shared" ca="1" si="36"/>
        <v>560950.12332649762</v>
      </c>
    </row>
    <row r="55" spans="3:21" x14ac:dyDescent="0.35">
      <c r="C55" s="7">
        <f t="shared" si="3"/>
        <v>48</v>
      </c>
      <c r="F55" s="1" t="s">
        <v>42</v>
      </c>
      <c r="H55" s="35">
        <v>0.1</v>
      </c>
      <c r="J55" s="1">
        <f ca="1">IF(SUM(J52:J54)&lt;=0,0,$H55*SUM(J52:J54))</f>
        <v>5238.4399999999996</v>
      </c>
      <c r="K55" s="1">
        <f t="shared" ref="K55:S55" ca="1" si="37">IF(SUM(K52:K54)&lt;=0,0,$H55*SUM(K52:K54))</f>
        <v>5960.4240000000009</v>
      </c>
      <c r="L55" s="1">
        <f t="shared" ca="1" si="37"/>
        <v>8118.518244240925</v>
      </c>
      <c r="M55" s="1">
        <f t="shared" ca="1" si="37"/>
        <v>9512.3254101476232</v>
      </c>
      <c r="N55" s="1">
        <f t="shared" ca="1" si="37"/>
        <v>11116.166020590641</v>
      </c>
      <c r="O55" s="1">
        <f t="shared" ca="1" si="37"/>
        <v>12900.296590788135</v>
      </c>
      <c r="P55" s="1">
        <f t="shared" ca="1" si="37"/>
        <v>21817.343706025273</v>
      </c>
      <c r="Q55" s="1">
        <f t="shared" ca="1" si="37"/>
        <v>24105.373607607118</v>
      </c>
      <c r="R55" s="1">
        <f t="shared" ca="1" si="37"/>
        <v>26794.821389162531</v>
      </c>
      <c r="S55" s="1">
        <f t="shared" ca="1" si="37"/>
        <v>29947.443415949449</v>
      </c>
      <c r="U55" s="1">
        <f t="shared" ca="1" si="36"/>
        <v>155511.15238451169</v>
      </c>
    </row>
    <row r="56" spans="3:21" x14ac:dyDescent="0.35">
      <c r="C56" s="7">
        <f t="shared" si="3"/>
        <v>49</v>
      </c>
      <c r="F56" s="1" t="s">
        <v>46</v>
      </c>
      <c r="H56" s="23"/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U56" s="12">
        <f t="shared" si="36"/>
        <v>0</v>
      </c>
    </row>
    <row r="57" spans="3:21" x14ac:dyDescent="0.35">
      <c r="C57" s="7">
        <f t="shared" si="3"/>
        <v>50</v>
      </c>
      <c r="F57" s="1" t="s">
        <v>43</v>
      </c>
      <c r="J57" s="1">
        <f ca="1">SUM(J52,-J54,-J55,-J56)</f>
        <v>5129.9599999999946</v>
      </c>
      <c r="K57" s="1">
        <f t="shared" ref="K57:S57" ca="1" si="38">SUM(K52,-K54,-K55,-K56)</f>
        <v>11627.816000000004</v>
      </c>
      <c r="L57" s="1">
        <f t="shared" ca="1" si="38"/>
        <v>11624.977953349819</v>
      </c>
      <c r="M57" s="1">
        <f t="shared" ca="1" si="38"/>
        <v>24169.24244651011</v>
      </c>
      <c r="N57" s="1">
        <f t="shared" ca="1" si="38"/>
        <v>38603.807940497267</v>
      </c>
      <c r="O57" s="1">
        <f t="shared" ca="1" si="38"/>
        <v>54660.983072274707</v>
      </c>
      <c r="P57" s="1">
        <f t="shared" ca="1" si="38"/>
        <v>-1669.2820642029219</v>
      </c>
      <c r="Q57" s="1">
        <f t="shared" ca="1" si="38"/>
        <v>18922.987050033717</v>
      </c>
      <c r="R57" s="1">
        <f t="shared" ca="1" si="38"/>
        <v>43128.017084032399</v>
      </c>
      <c r="S57" s="1">
        <f t="shared" ca="1" si="38"/>
        <v>71501.61532511469</v>
      </c>
      <c r="U57" s="1">
        <f t="shared" ca="1" si="36"/>
        <v>277700.12480760983</v>
      </c>
    </row>
    <row r="58" spans="3:21" x14ac:dyDescent="0.35">
      <c r="C58" s="7">
        <f t="shared" si="3"/>
        <v>51</v>
      </c>
      <c r="D58" s="2"/>
      <c r="E58" s="2"/>
      <c r="F58" s="2"/>
      <c r="G58" s="2"/>
      <c r="H58" s="26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3:21" x14ac:dyDescent="0.35">
      <c r="C59" s="7">
        <f t="shared" si="3"/>
        <v>52</v>
      </c>
    </row>
    <row r="60" spans="3:21" x14ac:dyDescent="0.35">
      <c r="C60" s="7">
        <f t="shared" si="3"/>
        <v>53</v>
      </c>
      <c r="D60" s="3" t="s">
        <v>47</v>
      </c>
    </row>
    <row r="61" spans="3:21" x14ac:dyDescent="0.35">
      <c r="C61" s="7">
        <f t="shared" si="3"/>
        <v>54</v>
      </c>
      <c r="E61" s="1" t="s">
        <v>7</v>
      </c>
      <c r="J61" s="11">
        <v>17500</v>
      </c>
      <c r="K61" s="1">
        <f ca="1">J61+K57-K46</f>
        <v>28612.816000000006</v>
      </c>
      <c r="L61" s="1">
        <f t="shared" ref="L61:S61" ca="1" si="39">K61+L57-L46</f>
        <v>39707.343953349831</v>
      </c>
      <c r="M61" s="1">
        <f t="shared" ca="1" si="39"/>
        <v>63330.222899859938</v>
      </c>
      <c r="N61" s="1">
        <f t="shared" ca="1" si="39"/>
        <v>101934.03084035721</v>
      </c>
      <c r="O61" s="1">
        <f t="shared" ca="1" si="39"/>
        <v>156595.01391263193</v>
      </c>
      <c r="P61" s="1">
        <f t="shared" ca="1" si="39"/>
        <v>154925.73184842902</v>
      </c>
      <c r="Q61" s="1">
        <f t="shared" ca="1" si="39"/>
        <v>173848.71889846274</v>
      </c>
      <c r="R61" s="1">
        <f t="shared" ca="1" si="39"/>
        <v>216976.73598249513</v>
      </c>
      <c r="S61" s="1">
        <f t="shared" ca="1" si="39"/>
        <v>288478.35130760982</v>
      </c>
    </row>
    <row r="62" spans="3:21" x14ac:dyDescent="0.35">
      <c r="C62" s="7">
        <f t="shared" si="3"/>
        <v>55</v>
      </c>
      <c r="E62" s="1" t="s">
        <v>48</v>
      </c>
      <c r="J62" s="11"/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</row>
    <row r="63" spans="3:21" x14ac:dyDescent="0.35">
      <c r="C63" s="7">
        <f t="shared" si="3"/>
        <v>56</v>
      </c>
      <c r="E63" s="1" t="s">
        <v>111</v>
      </c>
      <c r="J63" s="11">
        <v>0</v>
      </c>
      <c r="K63" s="1">
        <f t="shared" ref="K63:S63" si="40">J63+SUM(-K$24,-K$47)</f>
        <v>1578.26</v>
      </c>
      <c r="L63" s="1">
        <f t="shared" si="40"/>
        <v>3418.1219999999998</v>
      </c>
      <c r="M63" s="1">
        <f t="shared" si="40"/>
        <v>5562.5557499999995</v>
      </c>
      <c r="N63" s="1">
        <f t="shared" si="40"/>
        <v>8061.5358799999995</v>
      </c>
      <c r="O63" s="1">
        <f t="shared" si="40"/>
        <v>10935.363029499998</v>
      </c>
      <c r="P63" s="1">
        <f t="shared" si="40"/>
        <v>14240.264251424996</v>
      </c>
      <c r="Q63" s="1">
        <f t="shared" si="40"/>
        <v>18040.900656638743</v>
      </c>
      <c r="R63" s="1">
        <f t="shared" si="40"/>
        <v>22411.632522634554</v>
      </c>
      <c r="S63" s="1">
        <f t="shared" si="40"/>
        <v>27437.974168529734</v>
      </c>
    </row>
    <row r="64" spans="3:21" x14ac:dyDescent="0.35">
      <c r="C64" s="7">
        <f t="shared" si="3"/>
        <v>57</v>
      </c>
      <c r="J64" s="11"/>
    </row>
    <row r="65" spans="3:19" x14ac:dyDescent="0.35">
      <c r="C65" s="7">
        <f t="shared" si="3"/>
        <v>58</v>
      </c>
      <c r="E65" s="1" t="s">
        <v>51</v>
      </c>
      <c r="H65" s="24"/>
      <c r="J65" s="11"/>
    </row>
    <row r="66" spans="3:19" x14ac:dyDescent="0.35">
      <c r="C66" s="7">
        <f t="shared" si="3"/>
        <v>59</v>
      </c>
      <c r="F66" s="1" t="s">
        <v>49</v>
      </c>
      <c r="H66" s="31">
        <v>1</v>
      </c>
      <c r="J66" s="11">
        <v>0</v>
      </c>
      <c r="K66" s="1">
        <f ca="1">J66+K55-'Capital Budget Projection'!J$18</f>
        <v>5960.4240000000009</v>
      </c>
      <c r="L66" s="1">
        <f ca="1">K66+L55-'Capital Budget Projection'!K$18</f>
        <v>14078.942244240927</v>
      </c>
      <c r="M66" s="1">
        <f ca="1">L66+M55-'Capital Budget Projection'!L$18</f>
        <v>23591.26765438855</v>
      </c>
      <c r="N66" s="1">
        <f ca="1">M66+N55-'Capital Budget Projection'!M$18</f>
        <v>34707.433674979191</v>
      </c>
      <c r="O66" s="1">
        <f ca="1">N66+O55-'Capital Budget Projection'!N$18</f>
        <v>47607.730265767328</v>
      </c>
      <c r="P66" s="1">
        <f ca="1">O66+P55-'Capital Budget Projection'!O$18</f>
        <v>69425.073971792604</v>
      </c>
      <c r="Q66" s="1">
        <f ca="1">P66+Q55-'Capital Budget Projection'!P$18</f>
        <v>8530.4475793997262</v>
      </c>
      <c r="R66" s="1">
        <f ca="1">Q66+R55-'Capital Budget Projection'!Q$18</f>
        <v>35325.268968562261</v>
      </c>
      <c r="S66" s="1">
        <f ca="1">R66+S55-'Capital Budget Projection'!R$18</f>
        <v>65272.712384511709</v>
      </c>
    </row>
    <row r="67" spans="3:19" x14ac:dyDescent="0.35">
      <c r="C67" s="7">
        <f t="shared" si="3"/>
        <v>60</v>
      </c>
      <c r="F67" s="1" t="s">
        <v>28</v>
      </c>
      <c r="H67" s="31">
        <f>1-H66</f>
        <v>0</v>
      </c>
      <c r="J67" s="13">
        <v>0</v>
      </c>
      <c r="K67" s="9">
        <f t="shared" ref="K67:S67" si="41">(K62*0.5)</f>
        <v>0</v>
      </c>
      <c r="L67" s="9">
        <f t="shared" si="41"/>
        <v>0</v>
      </c>
      <c r="M67" s="9">
        <f t="shared" si="41"/>
        <v>0</v>
      </c>
      <c r="N67" s="9">
        <f t="shared" si="41"/>
        <v>0</v>
      </c>
      <c r="O67" s="9">
        <f t="shared" si="41"/>
        <v>0</v>
      </c>
      <c r="P67" s="9">
        <f t="shared" si="41"/>
        <v>0</v>
      </c>
      <c r="Q67" s="9">
        <f t="shared" si="41"/>
        <v>0</v>
      </c>
      <c r="R67" s="9">
        <f t="shared" si="41"/>
        <v>0</v>
      </c>
      <c r="S67" s="9">
        <f t="shared" si="41"/>
        <v>0</v>
      </c>
    </row>
    <row r="68" spans="3:19" x14ac:dyDescent="0.35">
      <c r="C68" s="7">
        <f t="shared" si="3"/>
        <v>61</v>
      </c>
      <c r="F68" s="1" t="s">
        <v>55</v>
      </c>
      <c r="J68" s="1">
        <f>SUM(J66:J67)</f>
        <v>0</v>
      </c>
      <c r="K68" s="1">
        <f t="shared" ref="K68:S68" ca="1" si="42">SUM(K66:K67)</f>
        <v>5960.4240000000009</v>
      </c>
      <c r="L68" s="1">
        <f t="shared" ca="1" si="42"/>
        <v>14078.942244240927</v>
      </c>
      <c r="M68" s="1">
        <f t="shared" ca="1" si="42"/>
        <v>23591.26765438855</v>
      </c>
      <c r="N68" s="1">
        <f t="shared" ca="1" si="42"/>
        <v>34707.433674979191</v>
      </c>
      <c r="O68" s="1">
        <f t="shared" ca="1" si="42"/>
        <v>47607.730265767328</v>
      </c>
      <c r="P68" s="1">
        <f t="shared" ca="1" si="42"/>
        <v>69425.073971792604</v>
      </c>
      <c r="Q68" s="1">
        <f t="shared" ca="1" si="42"/>
        <v>8530.4475793997262</v>
      </c>
      <c r="R68" s="1">
        <f t="shared" ca="1" si="42"/>
        <v>35325.268968562261</v>
      </c>
      <c r="S68" s="1">
        <f t="shared" ca="1" si="42"/>
        <v>65272.712384511709</v>
      </c>
    </row>
    <row r="69" spans="3:19" x14ac:dyDescent="0.35">
      <c r="C69" s="7">
        <f t="shared" si="3"/>
        <v>62</v>
      </c>
    </row>
    <row r="70" spans="3:19" x14ac:dyDescent="0.35">
      <c r="C70" s="7">
        <f t="shared" si="3"/>
        <v>63</v>
      </c>
      <c r="F70" s="1" t="s">
        <v>50</v>
      </c>
      <c r="J70" s="1">
        <f>SUM(J68,J61:J63)</f>
        <v>17500</v>
      </c>
      <c r="K70" s="1">
        <f t="shared" ref="K70:S70" ca="1" si="43">SUM(K68,K61:K63)</f>
        <v>36151.500000000007</v>
      </c>
      <c r="L70" s="1">
        <f t="shared" ca="1" si="43"/>
        <v>57204.408197590761</v>
      </c>
      <c r="M70" s="1">
        <f t="shared" ca="1" si="43"/>
        <v>92484.046304248492</v>
      </c>
      <c r="N70" s="1">
        <f t="shared" ca="1" si="43"/>
        <v>144703.00039533642</v>
      </c>
      <c r="O70" s="1">
        <f t="shared" ca="1" si="43"/>
        <v>215138.10720789927</v>
      </c>
      <c r="P70" s="1">
        <f t="shared" ca="1" si="43"/>
        <v>238591.07007164659</v>
      </c>
      <c r="Q70" s="1">
        <f t="shared" ca="1" si="43"/>
        <v>200420.06713450121</v>
      </c>
      <c r="R70" s="1">
        <f t="shared" ca="1" si="43"/>
        <v>274713.63747369195</v>
      </c>
      <c r="S70" s="1">
        <f t="shared" ca="1" si="43"/>
        <v>381189.03786065127</v>
      </c>
    </row>
    <row r="71" spans="3:19" x14ac:dyDescent="0.35">
      <c r="C71" s="7">
        <f t="shared" si="3"/>
        <v>64</v>
      </c>
    </row>
    <row r="72" spans="3:19" x14ac:dyDescent="0.35">
      <c r="C72" s="7">
        <f t="shared" si="3"/>
        <v>65</v>
      </c>
      <c r="D72" s="3" t="s">
        <v>52</v>
      </c>
    </row>
    <row r="73" spans="3:19" x14ac:dyDescent="0.35">
      <c r="C73" s="7">
        <f t="shared" si="3"/>
        <v>66</v>
      </c>
      <c r="E73" s="1" t="s">
        <v>53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</row>
    <row r="74" spans="3:19" x14ac:dyDescent="0.35">
      <c r="C74" s="7">
        <f t="shared" si="3"/>
        <v>67</v>
      </c>
      <c r="E74" s="1" t="s">
        <v>54</v>
      </c>
      <c r="J74" s="11">
        <v>14690</v>
      </c>
      <c r="K74" s="11">
        <v>14690</v>
      </c>
      <c r="L74" s="11">
        <v>14690</v>
      </c>
      <c r="M74" s="11">
        <v>14690</v>
      </c>
      <c r="N74" s="11">
        <v>14690</v>
      </c>
      <c r="O74" s="11">
        <v>14690</v>
      </c>
      <c r="P74" s="11">
        <v>14690</v>
      </c>
      <c r="Q74" s="11">
        <v>14690</v>
      </c>
      <c r="R74" s="11">
        <v>14690</v>
      </c>
      <c r="S74" s="11">
        <v>14690</v>
      </c>
    </row>
    <row r="75" spans="3:19" x14ac:dyDescent="0.35">
      <c r="C75" s="7">
        <f t="shared" si="3"/>
        <v>68</v>
      </c>
      <c r="E75" s="1" t="s">
        <v>9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</row>
    <row r="76" spans="3:19" x14ac:dyDescent="0.35">
      <c r="C76" s="7">
        <f t="shared" si="3"/>
        <v>69</v>
      </c>
      <c r="F76" s="1" t="s">
        <v>10</v>
      </c>
      <c r="J76" s="1">
        <f>J73+J74+J75</f>
        <v>14690</v>
      </c>
      <c r="K76" s="1">
        <f t="shared" ref="K76:S76" si="44">K73+K74+K75</f>
        <v>14690</v>
      </c>
      <c r="L76" s="1">
        <f t="shared" si="44"/>
        <v>14690</v>
      </c>
      <c r="M76" s="1">
        <f t="shared" si="44"/>
        <v>14690</v>
      </c>
      <c r="N76" s="1">
        <f t="shared" si="44"/>
        <v>14690</v>
      </c>
      <c r="O76" s="1">
        <f t="shared" si="44"/>
        <v>14690</v>
      </c>
      <c r="P76" s="1">
        <f t="shared" si="44"/>
        <v>14690</v>
      </c>
      <c r="Q76" s="1">
        <f t="shared" si="44"/>
        <v>14690</v>
      </c>
      <c r="R76" s="1">
        <f t="shared" si="44"/>
        <v>14690</v>
      </c>
      <c r="S76" s="1">
        <f t="shared" si="44"/>
        <v>14690</v>
      </c>
    </row>
    <row r="77" spans="3:19" x14ac:dyDescent="0.35">
      <c r="C77" s="7">
        <f t="shared" si="3"/>
        <v>70</v>
      </c>
    </row>
    <row r="78" spans="3:19" x14ac:dyDescent="0.35">
      <c r="C78" s="7">
        <f t="shared" ref="C78:C95" si="45">C77+1</f>
        <v>71</v>
      </c>
      <c r="D78" s="3" t="s">
        <v>11</v>
      </c>
    </row>
    <row r="79" spans="3:19" x14ac:dyDescent="0.35">
      <c r="C79" s="7">
        <f t="shared" si="45"/>
        <v>72</v>
      </c>
      <c r="E79" s="1" t="s">
        <v>12</v>
      </c>
      <c r="J79" s="1">
        <f>J68</f>
        <v>0</v>
      </c>
      <c r="K79" s="1">
        <f t="shared" ref="K79:S79" ca="1" si="46">K68</f>
        <v>5960.4240000000009</v>
      </c>
      <c r="L79" s="1">
        <f t="shared" ca="1" si="46"/>
        <v>14078.942244240927</v>
      </c>
      <c r="M79" s="1">
        <f t="shared" ca="1" si="46"/>
        <v>23591.26765438855</v>
      </c>
      <c r="N79" s="1">
        <f t="shared" ca="1" si="46"/>
        <v>34707.433674979191</v>
      </c>
      <c r="O79" s="1">
        <f t="shared" ca="1" si="46"/>
        <v>47607.730265767328</v>
      </c>
      <c r="P79" s="1">
        <f t="shared" ca="1" si="46"/>
        <v>69425.073971792604</v>
      </c>
      <c r="Q79" s="1">
        <f t="shared" ca="1" si="46"/>
        <v>8530.4475793997262</v>
      </c>
      <c r="R79" s="1">
        <f t="shared" ca="1" si="46"/>
        <v>35325.268968562261</v>
      </c>
      <c r="S79" s="1">
        <f t="shared" ca="1" si="46"/>
        <v>65272.712384511709</v>
      </c>
    </row>
    <row r="80" spans="3:19" x14ac:dyDescent="0.35">
      <c r="C80" s="7">
        <f t="shared" si="45"/>
        <v>73</v>
      </c>
      <c r="E80" s="1" t="s">
        <v>112</v>
      </c>
      <c r="J80" s="9">
        <f>SUM(J61:J63,-J68,-J76)</f>
        <v>2810</v>
      </c>
      <c r="K80" s="9">
        <f t="shared" ref="K80:S80" ca="1" si="47">SUM(K61:K63,-K68,-K76)</f>
        <v>9540.6520000000019</v>
      </c>
      <c r="L80" s="9">
        <f t="shared" ca="1" si="47"/>
        <v>14356.523709108907</v>
      </c>
      <c r="M80" s="9">
        <f t="shared" ca="1" si="47"/>
        <v>30611.510995471399</v>
      </c>
      <c r="N80" s="9">
        <f t="shared" ca="1" si="47"/>
        <v>60598.133045378025</v>
      </c>
      <c r="O80" s="9">
        <f t="shared" ca="1" si="47"/>
        <v>105232.6466763646</v>
      </c>
      <c r="P80" s="9">
        <f t="shared" ca="1" si="47"/>
        <v>85050.9221280614</v>
      </c>
      <c r="Q80" s="9">
        <f t="shared" ca="1" si="47"/>
        <v>168669.17197570176</v>
      </c>
      <c r="R80" s="9">
        <f t="shared" ca="1" si="47"/>
        <v>189373.0995365674</v>
      </c>
      <c r="S80" s="9">
        <f t="shared" ca="1" si="47"/>
        <v>235953.61309162783</v>
      </c>
    </row>
    <row r="81" spans="3:19" x14ac:dyDescent="0.35">
      <c r="C81" s="7">
        <f t="shared" si="45"/>
        <v>74</v>
      </c>
      <c r="F81" s="1" t="s">
        <v>13</v>
      </c>
      <c r="J81" s="1">
        <f t="shared" ref="J81:S81" si="48">SUM(J79:J80)</f>
        <v>2810</v>
      </c>
      <c r="K81" s="1">
        <f t="shared" ca="1" si="48"/>
        <v>15501.076000000003</v>
      </c>
      <c r="L81" s="1">
        <f t="shared" ca="1" si="48"/>
        <v>28435.465953349834</v>
      </c>
      <c r="M81" s="1">
        <f t="shared" ca="1" si="48"/>
        <v>54202.778649859945</v>
      </c>
      <c r="N81" s="1">
        <f t="shared" ca="1" si="48"/>
        <v>95305.566720357223</v>
      </c>
      <c r="O81" s="1">
        <f t="shared" ca="1" si="48"/>
        <v>152840.37694213193</v>
      </c>
      <c r="P81" s="1">
        <f t="shared" ca="1" si="48"/>
        <v>154475.996099854</v>
      </c>
      <c r="Q81" s="1">
        <f t="shared" ca="1" si="48"/>
        <v>177199.6195551015</v>
      </c>
      <c r="R81" s="1">
        <f t="shared" ca="1" si="48"/>
        <v>224698.36850512965</v>
      </c>
      <c r="S81" s="1">
        <f t="shared" ca="1" si="48"/>
        <v>301226.32547613955</v>
      </c>
    </row>
    <row r="82" spans="3:19" x14ac:dyDescent="0.35">
      <c r="C82" s="7">
        <f t="shared" si="45"/>
        <v>75</v>
      </c>
    </row>
    <row r="83" spans="3:19" x14ac:dyDescent="0.35">
      <c r="C83" s="7">
        <f t="shared" si="45"/>
        <v>76</v>
      </c>
      <c r="D83" s="2"/>
      <c r="E83" s="2"/>
      <c r="F83" s="2"/>
      <c r="G83" s="2"/>
      <c r="H83" s="26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3:19" x14ac:dyDescent="0.35">
      <c r="C84" s="7">
        <f t="shared" si="45"/>
        <v>77</v>
      </c>
    </row>
    <row r="85" spans="3:19" x14ac:dyDescent="0.35">
      <c r="C85" s="7">
        <f t="shared" si="45"/>
        <v>78</v>
      </c>
      <c r="D85" s="3" t="s">
        <v>56</v>
      </c>
    </row>
    <row r="86" spans="3:19" x14ac:dyDescent="0.35">
      <c r="C86" s="7">
        <f t="shared" si="45"/>
        <v>79</v>
      </c>
      <c r="D86" s="3"/>
      <c r="F86" s="1" t="s">
        <v>8</v>
      </c>
      <c r="J86" s="1">
        <f>J61/(J42/365)</f>
        <v>166.12483745123535</v>
      </c>
      <c r="K86" s="1">
        <f t="shared" ref="K86:S86" ca="1" si="49">K61/(K42/365)</f>
        <v>263.70593104144842</v>
      </c>
      <c r="L86" s="1">
        <f t="shared" ca="1" si="49"/>
        <v>355.29811937953133</v>
      </c>
      <c r="M86" s="1">
        <f t="shared" ca="1" si="49"/>
        <v>550.16867943305328</v>
      </c>
      <c r="N86" s="1">
        <f t="shared" ca="1" si="49"/>
        <v>859.73937951562948</v>
      </c>
      <c r="O86" s="1">
        <f t="shared" ca="1" si="49"/>
        <v>1282.2961151106833</v>
      </c>
      <c r="P86" s="1">
        <f t="shared" ca="1" si="49"/>
        <v>1231.6767074918657</v>
      </c>
      <c r="Q86" s="1">
        <f t="shared" ca="1" si="49"/>
        <v>1341.8607261873544</v>
      </c>
      <c r="R86" s="1">
        <f t="shared" ca="1" si="49"/>
        <v>1625.9676265486507</v>
      </c>
      <c r="S86" s="1">
        <f t="shared" ca="1" si="49"/>
        <v>2098.8177348968825</v>
      </c>
    </row>
    <row r="87" spans="3:19" x14ac:dyDescent="0.35">
      <c r="C87" s="7">
        <f t="shared" si="45"/>
        <v>80</v>
      </c>
      <c r="F87" s="1" t="s">
        <v>5</v>
      </c>
      <c r="J87" s="15">
        <f ca="1">J52/J54</f>
        <v>1.4935453160700682</v>
      </c>
      <c r="K87" s="15">
        <f t="shared" ref="K87:S87" ca="1" si="50">K52/K54</f>
        <v>1.8372162985529326</v>
      </c>
      <c r="L87" s="15">
        <f t="shared" ca="1" si="50"/>
        <v>1.6426742950680573</v>
      </c>
      <c r="M87" s="15">
        <f t="shared" ca="1" si="50"/>
        <v>2.0963751132236599</v>
      </c>
      <c r="N87" s="15">
        <f t="shared" ca="1" si="50"/>
        <v>2.6184443168755283</v>
      </c>
      <c r="O87" s="15">
        <f t="shared" ca="1" si="50"/>
        <v>3.199200047793624</v>
      </c>
      <c r="P87" s="15">
        <f t="shared" ca="1" si="50"/>
        <v>1.2034896951893082</v>
      </c>
      <c r="Q87" s="15">
        <f t="shared" ca="1" si="50"/>
        <v>1.4345742111759294</v>
      </c>
      <c r="R87" s="15">
        <f t="shared" ca="1" si="50"/>
        <v>1.7062007919484765</v>
      </c>
      <c r="S87" s="15">
        <f t="shared" ca="1" si="50"/>
        <v>2.0246066548461368</v>
      </c>
    </row>
    <row r="88" spans="3:19" x14ac:dyDescent="0.35">
      <c r="C88" s="7">
        <f t="shared" si="45"/>
        <v>81</v>
      </c>
      <c r="F88" s="1" t="s">
        <v>57</v>
      </c>
      <c r="J88" s="10">
        <f>SUM(J79:J80)/J42</f>
        <v>7.3081924577373211E-2</v>
      </c>
      <c r="K88" s="10">
        <f t="shared" ref="K88:S88" ca="1" si="51">SUM(K79:K80)/K42</f>
        <v>0.39140671910310965</v>
      </c>
      <c r="L88" s="10">
        <f t="shared" ca="1" si="51"/>
        <v>0.69709112826891295</v>
      </c>
      <c r="M88" s="10">
        <f t="shared" ca="1" si="51"/>
        <v>1.2900707619033769</v>
      </c>
      <c r="N88" s="10">
        <f t="shared" ca="1" si="51"/>
        <v>2.2022824870039508</v>
      </c>
      <c r="O88" s="10">
        <f t="shared" ca="1" si="51"/>
        <v>3.4289064176559116</v>
      </c>
      <c r="P88" s="10">
        <f t="shared" ca="1" si="51"/>
        <v>3.3646609822926736</v>
      </c>
      <c r="Q88" s="10">
        <f t="shared" ca="1" si="51"/>
        <v>3.7471913257093563</v>
      </c>
      <c r="R88" s="10">
        <f t="shared" ca="1" si="51"/>
        <v>4.6132371139980473</v>
      </c>
      <c r="S88" s="10">
        <f t="shared" ca="1" si="51"/>
        <v>6.0042885843251144</v>
      </c>
    </row>
    <row r="89" spans="3:19" x14ac:dyDescent="0.35">
      <c r="C89" s="7">
        <f t="shared" si="45"/>
        <v>82</v>
      </c>
    </row>
    <row r="90" spans="3:19" x14ac:dyDescent="0.35">
      <c r="C90" s="7">
        <f t="shared" si="45"/>
        <v>83</v>
      </c>
      <c r="D90" s="3" t="s">
        <v>93</v>
      </c>
    </row>
    <row r="91" spans="3:19" x14ac:dyDescent="0.35">
      <c r="C91" s="7">
        <f t="shared" si="45"/>
        <v>84</v>
      </c>
      <c r="F91" s="1" t="s">
        <v>94</v>
      </c>
      <c r="J91" s="1">
        <v>270</v>
      </c>
      <c r="K91" s="1">
        <v>270</v>
      </c>
      <c r="L91" s="1">
        <v>270</v>
      </c>
      <c r="M91" s="1">
        <v>270</v>
      </c>
      <c r="N91" s="1">
        <v>270</v>
      </c>
      <c r="O91" s="1">
        <v>270</v>
      </c>
      <c r="P91" s="1">
        <v>270</v>
      </c>
      <c r="Q91" s="1">
        <v>270</v>
      </c>
      <c r="R91" s="1">
        <v>270</v>
      </c>
      <c r="S91" s="1">
        <v>270</v>
      </c>
    </row>
    <row r="92" spans="3:19" x14ac:dyDescent="0.35">
      <c r="C92" s="7">
        <f t="shared" si="45"/>
        <v>85</v>
      </c>
      <c r="F92" s="1" t="s">
        <v>95</v>
      </c>
      <c r="J92" s="15">
        <v>1.5</v>
      </c>
      <c r="K92" s="15">
        <v>1.5</v>
      </c>
      <c r="L92" s="15">
        <v>1.5</v>
      </c>
      <c r="M92" s="15">
        <v>1.5</v>
      </c>
      <c r="N92" s="15">
        <v>1.5</v>
      </c>
      <c r="O92" s="15">
        <v>1.5</v>
      </c>
      <c r="P92" s="15">
        <v>1.5</v>
      </c>
      <c r="Q92" s="15">
        <v>1.5</v>
      </c>
      <c r="R92" s="15">
        <v>1.5</v>
      </c>
      <c r="S92" s="15">
        <v>1.5</v>
      </c>
    </row>
    <row r="93" spans="3:19" x14ac:dyDescent="0.35">
      <c r="C93" s="7">
        <f t="shared" si="45"/>
        <v>86</v>
      </c>
      <c r="F93" s="1" t="s">
        <v>96</v>
      </c>
      <c r="J93" s="10">
        <v>0.67700000000000005</v>
      </c>
      <c r="K93" s="10">
        <v>0.67700000000000005</v>
      </c>
      <c r="L93" s="10">
        <v>0.67700000000000005</v>
      </c>
      <c r="M93" s="10">
        <v>0.67700000000000005</v>
      </c>
      <c r="N93" s="10">
        <v>0.67700000000000005</v>
      </c>
      <c r="O93" s="10">
        <v>0.67700000000000005</v>
      </c>
      <c r="P93" s="10">
        <v>0.67700000000000005</v>
      </c>
      <c r="Q93" s="10">
        <v>0.67700000000000005</v>
      </c>
      <c r="R93" s="10">
        <v>0.67700000000000005</v>
      </c>
      <c r="S93" s="10">
        <v>0.67700000000000005</v>
      </c>
    </row>
    <row r="94" spans="3:19" x14ac:dyDescent="0.35">
      <c r="C94" s="7">
        <f t="shared" si="45"/>
        <v>87</v>
      </c>
    </row>
    <row r="95" spans="3:19" x14ac:dyDescent="0.35">
      <c r="C95" s="7">
        <f t="shared" si="45"/>
        <v>88</v>
      </c>
      <c r="F95" s="1" t="s">
        <v>86</v>
      </c>
      <c r="J95" s="1">
        <f>SUM(J26,J50)</f>
        <v>69826.399999999994</v>
      </c>
      <c r="K95" s="1">
        <f t="shared" ref="K95:S95" si="52">SUM(K26,K50)</f>
        <v>78199.740000000005</v>
      </c>
      <c r="L95" s="1">
        <f t="shared" ca="1" si="52"/>
        <v>91255.944319999995</v>
      </c>
      <c r="M95" s="1">
        <f t="shared" ca="1" si="52"/>
        <v>106417.76412906699</v>
      </c>
      <c r="N95" s="1">
        <f t="shared" ca="1" si="52"/>
        <v>123716.63082799716</v>
      </c>
      <c r="O95" s="1">
        <f t="shared" ca="1" si="52"/>
        <v>142856.21094230708</v>
      </c>
      <c r="P95" s="1">
        <f t="shared" ca="1" si="52"/>
        <v>165072.06015257759</v>
      </c>
      <c r="Q95" s="1">
        <f t="shared" ca="1" si="52"/>
        <v>189329.69849244226</v>
      </c>
      <c r="R95" s="1">
        <f t="shared" ca="1" si="52"/>
        <v>217642.83581176394</v>
      </c>
      <c r="S95" s="1">
        <f t="shared" ca="1" si="52"/>
        <v>250630.27536851377</v>
      </c>
    </row>
  </sheetData>
  <pageMargins left="0.25" right="0.25" top="0.75" bottom="0.75" header="0.3" footer="0.3"/>
  <pageSetup scale="58" fitToHeight="2" orientation="landscape" verticalDpi="1200" r:id="rId1"/>
  <rowBreaks count="1" manualBreakCount="1">
    <brk id="58" min="2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F386-5A64-4AED-BED7-D723C4DDB730}">
  <dimension ref="B2:S25"/>
  <sheetViews>
    <sheetView zoomScale="90" zoomScaleNormal="90" workbookViewId="0">
      <selection activeCell="G38" sqref="G38"/>
    </sheetView>
  </sheetViews>
  <sheetFormatPr defaultRowHeight="14.5" x14ac:dyDescent="0.35"/>
  <cols>
    <col min="3" max="11" width="12.6328125" customWidth="1"/>
    <col min="13" max="16" width="12.6328125" customWidth="1"/>
  </cols>
  <sheetData>
    <row r="2" spans="2:19" x14ac:dyDescent="0.35">
      <c r="B2" s="3" t="s">
        <v>16</v>
      </c>
    </row>
    <row r="3" spans="2:19" x14ac:dyDescent="0.35">
      <c r="B3" s="3" t="s">
        <v>106</v>
      </c>
    </row>
    <row r="6" spans="2:19" x14ac:dyDescent="0.35">
      <c r="C6" s="19" t="s">
        <v>67</v>
      </c>
      <c r="D6" s="19"/>
      <c r="E6" s="19"/>
      <c r="F6" s="19"/>
      <c r="G6" s="19"/>
      <c r="H6" s="19"/>
      <c r="I6" s="19"/>
      <c r="J6" s="19"/>
      <c r="K6" s="16"/>
      <c r="M6" s="19" t="s">
        <v>68</v>
      </c>
      <c r="N6" s="19"/>
      <c r="O6" s="19"/>
      <c r="P6" s="19"/>
    </row>
    <row r="7" spans="2:19" x14ac:dyDescent="0.35">
      <c r="C7">
        <v>1</v>
      </c>
      <c r="D7">
        <f>C7+1</f>
        <v>2</v>
      </c>
      <c r="E7">
        <f t="shared" ref="E7:J7" si="0">D7+1</f>
        <v>3</v>
      </c>
      <c r="F7">
        <f t="shared" si="0"/>
        <v>4</v>
      </c>
      <c r="G7">
        <f t="shared" si="0"/>
        <v>5</v>
      </c>
      <c r="H7">
        <f t="shared" si="0"/>
        <v>6</v>
      </c>
      <c r="I7">
        <f t="shared" si="0"/>
        <v>7</v>
      </c>
      <c r="J7">
        <f t="shared" si="0"/>
        <v>8</v>
      </c>
      <c r="K7" s="17" t="s">
        <v>69</v>
      </c>
      <c r="M7">
        <v>1</v>
      </c>
      <c r="N7">
        <f>M7+1</f>
        <v>2</v>
      </c>
      <c r="O7">
        <f t="shared" ref="O7:P7" si="1">N7+1</f>
        <v>3</v>
      </c>
      <c r="P7">
        <f t="shared" si="1"/>
        <v>4</v>
      </c>
      <c r="Q7" s="17" t="s">
        <v>69</v>
      </c>
      <c r="R7" s="17"/>
      <c r="S7" s="17" t="s">
        <v>1</v>
      </c>
    </row>
    <row r="8" spans="2:19" x14ac:dyDescent="0.35">
      <c r="B8" s="16" t="s">
        <v>70</v>
      </c>
      <c r="C8" s="34" t="s">
        <v>82</v>
      </c>
      <c r="D8" s="34"/>
      <c r="E8" s="34"/>
      <c r="F8" s="34"/>
      <c r="G8" s="34"/>
      <c r="H8" s="34"/>
      <c r="I8" s="34"/>
      <c r="J8" s="34"/>
      <c r="K8" s="33"/>
      <c r="L8" s="33"/>
      <c r="M8" s="34" t="s">
        <v>88</v>
      </c>
      <c r="N8" s="34" t="s">
        <v>89</v>
      </c>
      <c r="O8" s="34" t="s">
        <v>90</v>
      </c>
      <c r="P8" s="34" t="s">
        <v>91</v>
      </c>
      <c r="Q8" s="1"/>
      <c r="R8" s="1"/>
      <c r="S8" s="1"/>
    </row>
    <row r="9" spans="2:19" x14ac:dyDescent="0.35">
      <c r="B9" s="16" t="s">
        <v>71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"/>
      <c r="R9" s="1"/>
      <c r="S9" s="1"/>
    </row>
    <row r="10" spans="2:19" x14ac:dyDescent="0.3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x14ac:dyDescent="0.35">
      <c r="B11" s="16" t="s">
        <v>72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1">
        <v>75000</v>
      </c>
      <c r="N11" s="11">
        <v>2000000</v>
      </c>
      <c r="O11" s="11">
        <v>0</v>
      </c>
      <c r="P11" s="11">
        <v>0</v>
      </c>
      <c r="Q11" s="1"/>
      <c r="R11" s="1"/>
      <c r="S11" s="1"/>
    </row>
    <row r="12" spans="2:19" x14ac:dyDescent="0.35">
      <c r="B12" s="16" t="s">
        <v>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0">
        <v>0.05</v>
      </c>
      <c r="N12" s="20">
        <v>0.02</v>
      </c>
      <c r="O12" s="20">
        <v>0</v>
      </c>
      <c r="P12" s="20">
        <v>0</v>
      </c>
      <c r="Q12" s="1"/>
      <c r="R12" s="1"/>
      <c r="S12" s="1"/>
    </row>
    <row r="13" spans="2:19" x14ac:dyDescent="0.35">
      <c r="B13" s="16" t="s">
        <v>73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1">
        <v>10</v>
      </c>
      <c r="N13" s="11">
        <v>30</v>
      </c>
      <c r="O13" s="11">
        <v>0</v>
      </c>
      <c r="P13" s="11">
        <v>0</v>
      </c>
      <c r="Q13" s="1"/>
      <c r="R13" s="1"/>
      <c r="S13" s="1"/>
    </row>
    <row r="14" spans="2:19" x14ac:dyDescent="0.35">
      <c r="B14" s="16" t="s">
        <v>74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9">
        <v>2026</v>
      </c>
      <c r="N14" s="29">
        <v>2030</v>
      </c>
      <c r="O14" s="29">
        <v>0</v>
      </c>
      <c r="P14" s="29">
        <v>0</v>
      </c>
      <c r="Q14" s="1"/>
      <c r="R14" s="1"/>
      <c r="S14" s="1"/>
    </row>
    <row r="15" spans="2:19" x14ac:dyDescent="0.3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x14ac:dyDescent="0.35">
      <c r="B16" s="28">
        <f>'Financial Projection'!$J$6</f>
        <v>2024</v>
      </c>
      <c r="C16" s="1">
        <v>21008</v>
      </c>
      <c r="D16" s="1"/>
      <c r="E16" s="1"/>
      <c r="F16" s="1"/>
      <c r="G16" s="1"/>
      <c r="H16" s="1"/>
      <c r="I16" s="1"/>
      <c r="J16" s="1"/>
      <c r="K16" s="1">
        <f>SUM(C16:J16)</f>
        <v>21008</v>
      </c>
      <c r="L16" s="1"/>
      <c r="M16" s="1">
        <f t="shared" ref="M16:P25" si="2">IF(AND($B16&gt;=M$14,$B16&lt;=(M$14+M$13-1)),PMT(M$12,M$13,-M$11),0)</f>
        <v>0</v>
      </c>
      <c r="N16" s="1">
        <f t="shared" si="2"/>
        <v>0</v>
      </c>
      <c r="O16" s="1">
        <f t="shared" si="2"/>
        <v>0</v>
      </c>
      <c r="P16" s="1">
        <f t="shared" si="2"/>
        <v>0</v>
      </c>
      <c r="Q16" s="1">
        <f>SUM(M16:P16)</f>
        <v>0</v>
      </c>
      <c r="R16" s="1"/>
      <c r="S16" s="1">
        <f>SUM(Q16,K16)</f>
        <v>21008</v>
      </c>
    </row>
    <row r="17" spans="2:19" x14ac:dyDescent="0.35">
      <c r="B17" s="18">
        <v>2025</v>
      </c>
      <c r="C17" s="1">
        <v>21008</v>
      </c>
      <c r="D17" s="1"/>
      <c r="E17" s="1"/>
      <c r="F17" s="1"/>
      <c r="G17" s="1"/>
      <c r="H17" s="1"/>
      <c r="I17" s="1"/>
      <c r="J17" s="1"/>
      <c r="K17" s="1">
        <f t="shared" ref="K17:K25" si="3">SUM(C17:J17)</f>
        <v>21008</v>
      </c>
      <c r="L17" s="1"/>
      <c r="M17" s="1">
        <f t="shared" si="2"/>
        <v>0</v>
      </c>
      <c r="N17" s="1">
        <f t="shared" si="2"/>
        <v>0</v>
      </c>
      <c r="O17" s="1">
        <f t="shared" si="2"/>
        <v>0</v>
      </c>
      <c r="P17" s="1">
        <f t="shared" si="2"/>
        <v>0</v>
      </c>
      <c r="Q17" s="1">
        <f t="shared" ref="Q17:Q25" si="4">SUM(M17:P17)</f>
        <v>0</v>
      </c>
      <c r="R17" s="1"/>
      <c r="S17" s="1">
        <f t="shared" ref="S17:S25" si="5">SUM(Q17,K17)</f>
        <v>21008</v>
      </c>
    </row>
    <row r="18" spans="2:19" x14ac:dyDescent="0.35">
      <c r="B18" s="18">
        <f>B17+1</f>
        <v>2026</v>
      </c>
      <c r="C18" s="1">
        <v>21008</v>
      </c>
      <c r="D18" s="1"/>
      <c r="E18" s="1"/>
      <c r="F18" s="1"/>
      <c r="G18" s="1"/>
      <c r="H18" s="1"/>
      <c r="I18" s="1"/>
      <c r="J18" s="1"/>
      <c r="K18" s="1">
        <f t="shared" si="3"/>
        <v>21008</v>
      </c>
      <c r="L18" s="1"/>
      <c r="M18" s="1">
        <f t="shared" si="2"/>
        <v>9712.8431224092492</v>
      </c>
      <c r="N18" s="1">
        <f t="shared" si="2"/>
        <v>0</v>
      </c>
      <c r="O18" s="1">
        <f t="shared" si="2"/>
        <v>0</v>
      </c>
      <c r="P18" s="1">
        <f t="shared" si="2"/>
        <v>0</v>
      </c>
      <c r="Q18" s="1">
        <f t="shared" si="4"/>
        <v>9712.8431224092492</v>
      </c>
      <c r="R18" s="1"/>
      <c r="S18" s="1">
        <f t="shared" si="5"/>
        <v>30720.843122409249</v>
      </c>
    </row>
    <row r="19" spans="2:19" x14ac:dyDescent="0.35">
      <c r="B19" s="18">
        <f t="shared" ref="B19:B25" si="6">B18+1</f>
        <v>2027</v>
      </c>
      <c r="C19" s="1">
        <v>21008</v>
      </c>
      <c r="D19" s="1"/>
      <c r="E19" s="1"/>
      <c r="F19" s="1"/>
      <c r="G19" s="1"/>
      <c r="H19" s="1"/>
      <c r="I19" s="1"/>
      <c r="J19" s="1"/>
      <c r="K19" s="1">
        <f t="shared" si="3"/>
        <v>21008</v>
      </c>
      <c r="L19" s="1"/>
      <c r="M19" s="1">
        <f t="shared" si="2"/>
        <v>9712.8431224092492</v>
      </c>
      <c r="N19" s="1">
        <f t="shared" si="2"/>
        <v>0</v>
      </c>
      <c r="O19" s="1">
        <f t="shared" si="2"/>
        <v>0</v>
      </c>
      <c r="P19" s="1">
        <f t="shared" si="2"/>
        <v>0</v>
      </c>
      <c r="Q19" s="1">
        <f t="shared" si="4"/>
        <v>9712.8431224092492</v>
      </c>
      <c r="R19" s="1"/>
      <c r="S19" s="1">
        <f t="shared" si="5"/>
        <v>30720.843122409249</v>
      </c>
    </row>
    <row r="20" spans="2:19" x14ac:dyDescent="0.35">
      <c r="B20" s="18">
        <f t="shared" si="6"/>
        <v>2028</v>
      </c>
      <c r="C20" s="1">
        <v>21008</v>
      </c>
      <c r="D20" s="1"/>
      <c r="E20" s="1"/>
      <c r="F20" s="1"/>
      <c r="G20" s="1"/>
      <c r="H20" s="1"/>
      <c r="I20" s="1"/>
      <c r="J20" s="1"/>
      <c r="K20" s="1">
        <f t="shared" si="3"/>
        <v>21008</v>
      </c>
      <c r="L20" s="1"/>
      <c r="M20" s="1">
        <f t="shared" si="2"/>
        <v>9712.8431224092492</v>
      </c>
      <c r="N20" s="1">
        <f t="shared" si="2"/>
        <v>0</v>
      </c>
      <c r="O20" s="1">
        <f t="shared" si="2"/>
        <v>0</v>
      </c>
      <c r="P20" s="1">
        <f t="shared" si="2"/>
        <v>0</v>
      </c>
      <c r="Q20" s="1">
        <f t="shared" si="4"/>
        <v>9712.8431224092492</v>
      </c>
      <c r="R20" s="1"/>
      <c r="S20" s="1">
        <f t="shared" si="5"/>
        <v>30720.843122409249</v>
      </c>
    </row>
    <row r="21" spans="2:19" x14ac:dyDescent="0.35">
      <c r="B21" s="18">
        <f t="shared" si="6"/>
        <v>2029</v>
      </c>
      <c r="C21" s="1">
        <v>21008</v>
      </c>
      <c r="D21" s="1"/>
      <c r="E21" s="1"/>
      <c r="F21" s="1"/>
      <c r="G21" s="1"/>
      <c r="H21" s="1"/>
      <c r="I21" s="1"/>
      <c r="J21" s="1"/>
      <c r="K21" s="1">
        <f t="shared" si="3"/>
        <v>21008</v>
      </c>
      <c r="L21" s="1"/>
      <c r="M21" s="1">
        <f t="shared" si="2"/>
        <v>9712.8431224092492</v>
      </c>
      <c r="N21" s="1">
        <f>IF(AND($B21&gt;=N$14,$B21&lt;=(N$14+N$13-1)),PMT(N$12,N$13,-N$11),0)</f>
        <v>0</v>
      </c>
      <c r="O21" s="1">
        <f t="shared" si="2"/>
        <v>0</v>
      </c>
      <c r="P21" s="1">
        <f t="shared" si="2"/>
        <v>0</v>
      </c>
      <c r="Q21" s="1">
        <f t="shared" si="4"/>
        <v>9712.8431224092492</v>
      </c>
      <c r="R21" s="1"/>
      <c r="S21" s="1">
        <f t="shared" si="5"/>
        <v>30720.843122409249</v>
      </c>
    </row>
    <row r="22" spans="2:19" x14ac:dyDescent="0.35">
      <c r="B22" s="18">
        <f t="shared" si="6"/>
        <v>2030</v>
      </c>
      <c r="C22" s="1"/>
      <c r="D22" s="1"/>
      <c r="E22" s="1"/>
      <c r="F22" s="1"/>
      <c r="G22" s="1"/>
      <c r="H22" s="1"/>
      <c r="I22" s="1"/>
      <c r="J22" s="1"/>
      <c r="K22" s="1">
        <f t="shared" si="3"/>
        <v>0</v>
      </c>
      <c r="L22" s="1"/>
      <c r="M22" s="1">
        <f t="shared" si="2"/>
        <v>9712.8431224092492</v>
      </c>
      <c r="N22" s="1">
        <f t="shared" si="2"/>
        <v>89299.844586805921</v>
      </c>
      <c r="O22" s="1">
        <f t="shared" si="2"/>
        <v>0</v>
      </c>
      <c r="P22" s="1">
        <f t="shared" si="2"/>
        <v>0</v>
      </c>
      <c r="Q22" s="1">
        <f t="shared" si="4"/>
        <v>99012.68770921517</v>
      </c>
      <c r="R22" s="1"/>
      <c r="S22" s="1">
        <f t="shared" si="5"/>
        <v>99012.68770921517</v>
      </c>
    </row>
    <row r="23" spans="2:19" x14ac:dyDescent="0.35">
      <c r="B23" s="18">
        <f t="shared" si="6"/>
        <v>2031</v>
      </c>
      <c r="C23" s="1"/>
      <c r="D23" s="1"/>
      <c r="E23" s="1"/>
      <c r="F23" s="1"/>
      <c r="G23" s="1"/>
      <c r="H23" s="1"/>
      <c r="I23" s="1"/>
      <c r="J23" s="1"/>
      <c r="K23" s="1">
        <f t="shared" si="3"/>
        <v>0</v>
      </c>
      <c r="L23" s="1"/>
      <c r="M23" s="1">
        <f t="shared" si="2"/>
        <v>9712.8431224092492</v>
      </c>
      <c r="N23" s="1">
        <f t="shared" si="2"/>
        <v>89299.844586805921</v>
      </c>
      <c r="O23" s="1">
        <f t="shared" si="2"/>
        <v>0</v>
      </c>
      <c r="P23" s="1">
        <f t="shared" si="2"/>
        <v>0</v>
      </c>
      <c r="Q23" s="1">
        <f t="shared" si="4"/>
        <v>99012.68770921517</v>
      </c>
      <c r="R23" s="1"/>
      <c r="S23" s="1">
        <f t="shared" si="5"/>
        <v>99012.68770921517</v>
      </c>
    </row>
    <row r="24" spans="2:19" x14ac:dyDescent="0.35">
      <c r="B24" s="18">
        <f t="shared" si="6"/>
        <v>2032</v>
      </c>
      <c r="C24" s="1"/>
      <c r="D24" s="1"/>
      <c r="E24" s="1"/>
      <c r="F24" s="1"/>
      <c r="G24" s="1"/>
      <c r="H24" s="1"/>
      <c r="I24" s="1"/>
      <c r="J24" s="1"/>
      <c r="K24" s="1">
        <f t="shared" si="3"/>
        <v>0</v>
      </c>
      <c r="L24" s="1"/>
      <c r="M24" s="1">
        <f t="shared" si="2"/>
        <v>9712.8431224092492</v>
      </c>
      <c r="N24" s="1">
        <f t="shared" si="2"/>
        <v>89299.844586805921</v>
      </c>
      <c r="O24" s="1">
        <f t="shared" si="2"/>
        <v>0</v>
      </c>
      <c r="P24" s="1">
        <f t="shared" si="2"/>
        <v>0</v>
      </c>
      <c r="Q24" s="1">
        <f t="shared" si="4"/>
        <v>99012.68770921517</v>
      </c>
      <c r="R24" s="1"/>
      <c r="S24" s="1">
        <f t="shared" si="5"/>
        <v>99012.68770921517</v>
      </c>
    </row>
    <row r="25" spans="2:19" x14ac:dyDescent="0.35">
      <c r="B25" s="18">
        <f t="shared" si="6"/>
        <v>2033</v>
      </c>
      <c r="C25" s="1"/>
      <c r="D25" s="1"/>
      <c r="E25" s="1"/>
      <c r="F25" s="1"/>
      <c r="G25" s="1"/>
      <c r="H25" s="1"/>
      <c r="I25" s="1"/>
      <c r="J25" s="1"/>
      <c r="K25" s="1">
        <f t="shared" si="3"/>
        <v>0</v>
      </c>
      <c r="L25" s="1"/>
      <c r="M25" s="1">
        <f t="shared" si="2"/>
        <v>9712.8431224092492</v>
      </c>
      <c r="N25" s="1">
        <f t="shared" si="2"/>
        <v>89299.844586805921</v>
      </c>
      <c r="O25" s="1">
        <f t="shared" si="2"/>
        <v>0</v>
      </c>
      <c r="P25" s="1">
        <f t="shared" si="2"/>
        <v>0</v>
      </c>
      <c r="Q25" s="1">
        <f t="shared" si="4"/>
        <v>99012.68770921517</v>
      </c>
      <c r="R25" s="1"/>
      <c r="S25" s="1">
        <f t="shared" si="5"/>
        <v>99012.68770921517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CC40C-C0EB-4A70-9C9C-A587864B7356}">
  <dimension ref="B2:T26"/>
  <sheetViews>
    <sheetView tabSelected="1" zoomScale="90" zoomScaleNormal="90" workbookViewId="0">
      <selection activeCell="M38" sqref="M38"/>
    </sheetView>
  </sheetViews>
  <sheetFormatPr defaultRowHeight="14.5" x14ac:dyDescent="0.35"/>
  <cols>
    <col min="3" max="4" width="1.6328125" customWidth="1"/>
    <col min="5" max="5" width="18.26953125" customWidth="1"/>
    <col min="6" max="6" width="1.6328125" customWidth="1"/>
    <col min="7" max="7" width="12.6328125" customWidth="1"/>
    <col min="8" max="8" width="1.6328125" customWidth="1"/>
    <col min="14" max="15" width="9.90625" bestFit="1" customWidth="1"/>
    <col min="20" max="20" width="9.90625" bestFit="1" customWidth="1"/>
  </cols>
  <sheetData>
    <row r="2" spans="2:20" x14ac:dyDescent="0.35">
      <c r="B2" s="1"/>
      <c r="C2" s="1"/>
      <c r="D2" s="1"/>
      <c r="E2" s="1"/>
      <c r="F2" s="1"/>
      <c r="G2" s="1"/>
      <c r="H2" s="1"/>
      <c r="I2" s="3">
        <v>1</v>
      </c>
      <c r="J2" s="3">
        <f>I2+1</f>
        <v>2</v>
      </c>
      <c r="K2" s="3">
        <f t="shared" ref="K2:R2" si="0">J2+1</f>
        <v>3</v>
      </c>
      <c r="L2" s="3">
        <f t="shared" si="0"/>
        <v>4</v>
      </c>
      <c r="M2" s="3">
        <f t="shared" si="0"/>
        <v>5</v>
      </c>
      <c r="N2" s="3">
        <f t="shared" si="0"/>
        <v>6</v>
      </c>
      <c r="O2" s="3">
        <f t="shared" si="0"/>
        <v>7</v>
      </c>
      <c r="P2" s="3">
        <f t="shared" si="0"/>
        <v>8</v>
      </c>
      <c r="Q2" s="3">
        <f t="shared" si="0"/>
        <v>9</v>
      </c>
      <c r="R2" s="3">
        <f t="shared" si="0"/>
        <v>10</v>
      </c>
    </row>
    <row r="3" spans="2:20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20" x14ac:dyDescent="0.35">
      <c r="B4" s="3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2:20" x14ac:dyDescent="0.35">
      <c r="B5" s="3" t="s">
        <v>58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20" x14ac:dyDescent="0.35">
      <c r="B6" s="1"/>
      <c r="C6" s="1"/>
      <c r="D6" s="1"/>
      <c r="E6" s="1"/>
      <c r="F6" s="1"/>
      <c r="G6" s="1"/>
      <c r="H6" s="1"/>
      <c r="I6" s="4" t="s">
        <v>0</v>
      </c>
      <c r="J6" s="4"/>
      <c r="K6" s="4"/>
      <c r="L6" s="4"/>
      <c r="M6" s="4"/>
      <c r="N6" s="4"/>
      <c r="O6" s="4"/>
      <c r="P6" s="4"/>
      <c r="Q6" s="4"/>
      <c r="R6" s="4"/>
    </row>
    <row r="7" spans="2:20" x14ac:dyDescent="0.35">
      <c r="B7" s="3"/>
      <c r="C7" s="3"/>
      <c r="D7" s="3"/>
      <c r="E7" s="3"/>
      <c r="F7" s="3"/>
      <c r="G7" s="3"/>
      <c r="H7" s="3"/>
      <c r="I7" s="5">
        <f>'Financial Projection'!$J$6</f>
        <v>2024</v>
      </c>
      <c r="J7" s="5">
        <f>I7+1</f>
        <v>2025</v>
      </c>
      <c r="K7" s="5">
        <f t="shared" ref="K7:R7" si="1">J7+1</f>
        <v>2026</v>
      </c>
      <c r="L7" s="5">
        <f t="shared" si="1"/>
        <v>2027</v>
      </c>
      <c r="M7" s="5">
        <f t="shared" si="1"/>
        <v>2028</v>
      </c>
      <c r="N7" s="5">
        <f t="shared" si="1"/>
        <v>2029</v>
      </c>
      <c r="O7" s="5">
        <f t="shared" si="1"/>
        <v>2030</v>
      </c>
      <c r="P7" s="5">
        <f t="shared" si="1"/>
        <v>2031</v>
      </c>
      <c r="Q7" s="5">
        <f t="shared" si="1"/>
        <v>2032</v>
      </c>
      <c r="R7" s="5">
        <f t="shared" si="1"/>
        <v>2033</v>
      </c>
      <c r="T7" s="17" t="s">
        <v>1</v>
      </c>
    </row>
    <row r="8" spans="2:20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20" x14ac:dyDescent="0.35">
      <c r="B9" s="7">
        <v>1</v>
      </c>
      <c r="C9" s="3" t="s">
        <v>60</v>
      </c>
      <c r="D9" s="3"/>
      <c r="E9" s="1"/>
      <c r="F9" s="1"/>
      <c r="G9" s="14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20" x14ac:dyDescent="0.35">
      <c r="B10" s="7">
        <f>B9+1</f>
        <v>2</v>
      </c>
      <c r="C10" s="1"/>
      <c r="D10" s="1"/>
      <c r="E10" s="1" t="s">
        <v>61</v>
      </c>
      <c r="F10" s="1"/>
      <c r="G10" s="1"/>
      <c r="H10" s="1"/>
      <c r="I10" s="11">
        <v>0</v>
      </c>
      <c r="J10" s="11">
        <v>0</v>
      </c>
      <c r="K10" s="11">
        <v>75000</v>
      </c>
      <c r="L10" s="11">
        <v>0</v>
      </c>
      <c r="M10" s="11">
        <v>0</v>
      </c>
      <c r="N10" s="11">
        <v>0</v>
      </c>
      <c r="O10" s="11">
        <v>0</v>
      </c>
      <c r="P10" s="11">
        <v>85000</v>
      </c>
      <c r="Q10" s="11">
        <v>0</v>
      </c>
      <c r="R10" s="11">
        <v>0</v>
      </c>
      <c r="T10" s="1">
        <f>SUM(I10:R10)</f>
        <v>160000</v>
      </c>
    </row>
    <row r="11" spans="2:20" x14ac:dyDescent="0.35">
      <c r="B11" s="7">
        <f t="shared" ref="B11:B26" si="2">B10+1</f>
        <v>3</v>
      </c>
      <c r="C11" s="1"/>
      <c r="D11" s="1"/>
      <c r="E11" s="1" t="s">
        <v>78</v>
      </c>
      <c r="F11" s="1"/>
      <c r="G11" s="1"/>
      <c r="H11" s="1"/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T11" s="1">
        <f>SUM(I11:R11)</f>
        <v>0</v>
      </c>
    </row>
    <row r="12" spans="2:20" x14ac:dyDescent="0.35">
      <c r="B12" s="7">
        <f t="shared" si="2"/>
        <v>4</v>
      </c>
      <c r="C12" s="1"/>
      <c r="D12" s="1"/>
      <c r="E12" s="1" t="s">
        <v>62</v>
      </c>
      <c r="F12" s="1"/>
      <c r="G12" s="1"/>
      <c r="H12" s="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2000000</v>
      </c>
      <c r="P12" s="11">
        <v>0</v>
      </c>
      <c r="Q12" s="11">
        <v>0</v>
      </c>
      <c r="R12" s="11">
        <v>0</v>
      </c>
      <c r="T12" s="1">
        <f t="shared" ref="T12:T14" si="3">SUM(I12:R12)</f>
        <v>2000000</v>
      </c>
    </row>
    <row r="13" spans="2:20" x14ac:dyDescent="0.35">
      <c r="B13" s="7">
        <f t="shared" si="2"/>
        <v>5</v>
      </c>
      <c r="C13" s="1"/>
      <c r="D13" s="1"/>
      <c r="E13" s="1" t="s">
        <v>63</v>
      </c>
      <c r="F13" s="1"/>
      <c r="G13" s="1"/>
      <c r="H13" s="1"/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T13" s="2">
        <f t="shared" si="3"/>
        <v>0</v>
      </c>
    </row>
    <row r="14" spans="2:20" x14ac:dyDescent="0.35">
      <c r="B14" s="7">
        <f t="shared" si="2"/>
        <v>6</v>
      </c>
      <c r="C14" s="1"/>
      <c r="D14" s="1"/>
      <c r="E14" s="1" t="s">
        <v>1</v>
      </c>
      <c r="F14" s="1"/>
      <c r="G14" s="1"/>
      <c r="H14" s="1"/>
      <c r="I14" s="1">
        <f t="shared" ref="I14:R14" si="4">SUM(I10:I13)</f>
        <v>0</v>
      </c>
      <c r="J14" s="1">
        <f t="shared" si="4"/>
        <v>0</v>
      </c>
      <c r="K14" s="1">
        <f t="shared" si="4"/>
        <v>75000</v>
      </c>
      <c r="L14" s="1">
        <f t="shared" si="4"/>
        <v>0</v>
      </c>
      <c r="M14" s="1">
        <f t="shared" si="4"/>
        <v>0</v>
      </c>
      <c r="N14" s="1">
        <f t="shared" si="4"/>
        <v>0</v>
      </c>
      <c r="O14" s="1">
        <f t="shared" si="4"/>
        <v>2000000</v>
      </c>
      <c r="P14" s="1">
        <f t="shared" si="4"/>
        <v>85000</v>
      </c>
      <c r="Q14" s="1">
        <f t="shared" si="4"/>
        <v>0</v>
      </c>
      <c r="R14" s="1">
        <f t="shared" si="4"/>
        <v>0</v>
      </c>
      <c r="T14" s="1">
        <f t="shared" si="3"/>
        <v>2160000</v>
      </c>
    </row>
    <row r="15" spans="2:20" x14ac:dyDescent="0.35">
      <c r="B15" s="7">
        <f t="shared" si="2"/>
        <v>7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0" x14ac:dyDescent="0.35">
      <c r="B16" s="7">
        <f t="shared" si="2"/>
        <v>8</v>
      </c>
      <c r="C16" s="16" t="s">
        <v>59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20" x14ac:dyDescent="0.35">
      <c r="B17" s="7">
        <f t="shared" si="2"/>
        <v>9</v>
      </c>
      <c r="E17" s="1" t="s">
        <v>64</v>
      </c>
      <c r="I17" s="1">
        <f>'Financial Projection'!J$56</f>
        <v>0</v>
      </c>
      <c r="J17" s="1">
        <f>'Financial Projection'!K$56</f>
        <v>0</v>
      </c>
      <c r="K17" s="1">
        <f>'Financial Projection'!L$56</f>
        <v>0</v>
      </c>
      <c r="L17" s="1">
        <f>'Financial Projection'!M$56</f>
        <v>0</v>
      </c>
      <c r="M17" s="1">
        <f>'Financial Projection'!N$56</f>
        <v>0</v>
      </c>
      <c r="N17" s="1">
        <f>'Financial Projection'!O$56</f>
        <v>0</v>
      </c>
      <c r="O17" s="1">
        <f>'Financial Projection'!P$56</f>
        <v>0</v>
      </c>
      <c r="P17" s="1">
        <f>'Financial Projection'!Q$56</f>
        <v>0</v>
      </c>
      <c r="Q17" s="1">
        <f>'Financial Projection'!R$56</f>
        <v>0</v>
      </c>
      <c r="R17" s="1">
        <f>'Financial Projection'!S$56</f>
        <v>0</v>
      </c>
      <c r="T17" s="1">
        <f>SUM(I17:R17)</f>
        <v>0</v>
      </c>
    </row>
    <row r="18" spans="2:20" x14ac:dyDescent="0.35">
      <c r="B18" s="7">
        <f t="shared" si="2"/>
        <v>10</v>
      </c>
      <c r="E18" s="1" t="s">
        <v>65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85000</v>
      </c>
      <c r="Q18" s="11">
        <v>0</v>
      </c>
      <c r="R18" s="11">
        <v>0</v>
      </c>
      <c r="T18" s="1">
        <f t="shared" ref="T18:T20" si="5">SUM(I18:R18)</f>
        <v>85000</v>
      </c>
    </row>
    <row r="19" spans="2:20" x14ac:dyDescent="0.35">
      <c r="B19" s="7">
        <f t="shared" si="2"/>
        <v>11</v>
      </c>
      <c r="E19" s="1" t="s">
        <v>66</v>
      </c>
      <c r="I19" s="12">
        <v>0</v>
      </c>
      <c r="J19" s="12">
        <v>0</v>
      </c>
      <c r="K19" s="12">
        <v>75000</v>
      </c>
      <c r="L19" s="12">
        <v>0</v>
      </c>
      <c r="M19" s="12">
        <v>0</v>
      </c>
      <c r="N19" s="12">
        <v>0</v>
      </c>
      <c r="O19" s="12">
        <v>2000000</v>
      </c>
      <c r="P19" s="12">
        <v>0</v>
      </c>
      <c r="Q19" s="12">
        <v>0</v>
      </c>
      <c r="R19" s="12">
        <v>0</v>
      </c>
      <c r="T19" s="2">
        <f t="shared" si="5"/>
        <v>2075000</v>
      </c>
    </row>
    <row r="20" spans="2:20" x14ac:dyDescent="0.35">
      <c r="B20" s="7">
        <f t="shared" si="2"/>
        <v>12</v>
      </c>
      <c r="E20" s="1" t="s">
        <v>1</v>
      </c>
      <c r="I20" s="1">
        <f>SUM(I17:I19)</f>
        <v>0</v>
      </c>
      <c r="J20" s="1">
        <f t="shared" ref="J20:R20" si="6">SUM(J17:J19)</f>
        <v>0</v>
      </c>
      <c r="K20" s="1">
        <f t="shared" si="6"/>
        <v>75000</v>
      </c>
      <c r="L20" s="1">
        <f t="shared" si="6"/>
        <v>0</v>
      </c>
      <c r="M20" s="1">
        <f t="shared" si="6"/>
        <v>0</v>
      </c>
      <c r="N20" s="1">
        <f t="shared" si="6"/>
        <v>0</v>
      </c>
      <c r="O20" s="1">
        <f t="shared" si="6"/>
        <v>2000000</v>
      </c>
      <c r="P20" s="1">
        <f t="shared" si="6"/>
        <v>85000</v>
      </c>
      <c r="Q20" s="1">
        <f t="shared" si="6"/>
        <v>0</v>
      </c>
      <c r="R20" s="1">
        <f t="shared" si="6"/>
        <v>0</v>
      </c>
      <c r="T20" s="1">
        <f t="shared" si="5"/>
        <v>2160000</v>
      </c>
    </row>
    <row r="21" spans="2:20" x14ac:dyDescent="0.35">
      <c r="B21" s="7">
        <f t="shared" si="2"/>
        <v>13</v>
      </c>
      <c r="T21" s="1"/>
    </row>
    <row r="22" spans="2:20" x14ac:dyDescent="0.35">
      <c r="B22" s="7">
        <f t="shared" si="2"/>
        <v>14</v>
      </c>
      <c r="E22" s="1" t="s">
        <v>83</v>
      </c>
      <c r="I22" s="1">
        <f>I14-I20</f>
        <v>0</v>
      </c>
      <c r="J22" s="1">
        <f t="shared" ref="J22:R22" si="7">J14-J20</f>
        <v>0</v>
      </c>
      <c r="K22" s="1">
        <f t="shared" si="7"/>
        <v>0</v>
      </c>
      <c r="L22" s="1">
        <f t="shared" si="7"/>
        <v>0</v>
      </c>
      <c r="M22" s="1">
        <f t="shared" si="7"/>
        <v>0</v>
      </c>
      <c r="N22" s="1">
        <f t="shared" si="7"/>
        <v>0</v>
      </c>
      <c r="O22" s="1">
        <f t="shared" si="7"/>
        <v>0</v>
      </c>
      <c r="P22" s="1">
        <f t="shared" si="7"/>
        <v>0</v>
      </c>
      <c r="Q22" s="1">
        <f t="shared" si="7"/>
        <v>0</v>
      </c>
      <c r="R22" s="1">
        <f t="shared" si="7"/>
        <v>0</v>
      </c>
      <c r="T22" s="1"/>
    </row>
    <row r="23" spans="2:20" x14ac:dyDescent="0.35">
      <c r="B23" s="7">
        <f t="shared" si="2"/>
        <v>15</v>
      </c>
      <c r="T23" s="1"/>
    </row>
    <row r="24" spans="2:20" x14ac:dyDescent="0.35">
      <c r="B24" s="7">
        <f t="shared" si="2"/>
        <v>16</v>
      </c>
      <c r="C24" s="16" t="s">
        <v>79</v>
      </c>
    </row>
    <row r="25" spans="2:20" x14ac:dyDescent="0.35">
      <c r="B25" s="7">
        <f t="shared" si="2"/>
        <v>17</v>
      </c>
      <c r="E25" s="1" t="s">
        <v>98</v>
      </c>
      <c r="I25" s="11">
        <v>0</v>
      </c>
      <c r="J25" s="1">
        <f>'Financial Projection'!J$66</f>
        <v>0</v>
      </c>
      <c r="K25" s="1">
        <f ca="1">'Financial Projection'!K$66</f>
        <v>5960.4240000000009</v>
      </c>
      <c r="L25" s="1">
        <f ca="1">'Financial Projection'!L$66</f>
        <v>14078.942244240927</v>
      </c>
      <c r="M25" s="1">
        <f ca="1">'Financial Projection'!M$66</f>
        <v>23591.26765438855</v>
      </c>
      <c r="N25" s="1">
        <f ca="1">'Financial Projection'!N$66</f>
        <v>34707.433674979191</v>
      </c>
      <c r="O25" s="1">
        <f ca="1">'Financial Projection'!O$66</f>
        <v>47607.730265767328</v>
      </c>
      <c r="P25" s="1">
        <f ca="1">'Financial Projection'!P$66</f>
        <v>69425.073971792604</v>
      </c>
      <c r="Q25" s="1">
        <f ca="1">'Financial Projection'!Q$66</f>
        <v>8530.4475793997262</v>
      </c>
      <c r="R25" s="1">
        <f ca="1">'Financial Projection'!R$66</f>
        <v>35325.268968562261</v>
      </c>
    </row>
    <row r="26" spans="2:20" x14ac:dyDescent="0.35">
      <c r="B26" s="7">
        <f t="shared" si="2"/>
        <v>18</v>
      </c>
      <c r="E26" s="1" t="s">
        <v>80</v>
      </c>
      <c r="J26" s="1">
        <f>SUMIF('Debt Profile'!$M$14:$P$14,'Capital Budget Projection'!J$7,'Debt Profile'!$M$11:$P$11)</f>
        <v>0</v>
      </c>
      <c r="K26" s="1">
        <f>SUMIF('Debt Profile'!$M$14:$P$14,'Capital Budget Projection'!K$7,'Debt Profile'!$M$11:$P$11)</f>
        <v>75000</v>
      </c>
      <c r="L26" s="1">
        <f>SUMIF('Debt Profile'!$M$14:$P$14,'Capital Budget Projection'!L$7,'Debt Profile'!$M$11:$P$11)</f>
        <v>0</v>
      </c>
      <c r="M26" s="1">
        <f>SUMIF('Debt Profile'!$M$14:$P$14,'Capital Budget Projection'!M$7,'Debt Profile'!$M$11:$P$11)</f>
        <v>0</v>
      </c>
      <c r="N26" s="1">
        <f>SUMIF('Debt Profile'!$M$14:$P$14,'Capital Budget Projection'!N$7,'Debt Profile'!$M$11:$P$11)</f>
        <v>0</v>
      </c>
      <c r="O26" s="1">
        <f>SUMIF('Debt Profile'!$M$14:$P$14,'Capital Budget Projection'!O$7,'Debt Profile'!$M$11:$P$11)</f>
        <v>2000000</v>
      </c>
      <c r="P26" s="1">
        <f>SUMIF('Debt Profile'!$M$14:$P$14,'Capital Budget Projection'!P$7,'Debt Profile'!$M$11:$P$11)</f>
        <v>0</v>
      </c>
      <c r="Q26" s="1">
        <f>SUMIF('Debt Profile'!$M$14:$P$14,'Capital Budget Projection'!Q$7,'Debt Profile'!$M$11:$P$11)</f>
        <v>0</v>
      </c>
      <c r="R26" s="1">
        <f>SUMIF('Debt Profile'!$M$14:$P$14,'Capital Budget Projection'!R$7,'Debt Profile'!$M$11:$P$11)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21581-6E28-4451-AC9A-9400919E75C3}">
  <dimension ref="B4:X30"/>
  <sheetViews>
    <sheetView topLeftCell="A7" zoomScale="85" zoomScaleNormal="85" workbookViewId="0">
      <selection activeCell="S33" sqref="A1:XFD1048576"/>
    </sheetView>
  </sheetViews>
  <sheetFormatPr defaultRowHeight="14.5" x14ac:dyDescent="0.35"/>
  <sheetData>
    <row r="4" spans="2:24" x14ac:dyDescent="0.35">
      <c r="B4" s="32" t="s">
        <v>85</v>
      </c>
      <c r="C4" s="32"/>
      <c r="D4" s="32"/>
      <c r="E4" s="32"/>
      <c r="F4" s="32"/>
      <c r="G4" s="32"/>
      <c r="H4" s="32"/>
      <c r="I4" s="32"/>
      <c r="J4" s="32"/>
      <c r="K4" s="32"/>
      <c r="L4" s="32"/>
      <c r="N4" s="32" t="s">
        <v>92</v>
      </c>
      <c r="O4" s="32"/>
      <c r="P4" s="32"/>
      <c r="Q4" s="32"/>
      <c r="R4" s="32"/>
      <c r="S4" s="32"/>
      <c r="T4" s="32"/>
      <c r="U4" s="32"/>
      <c r="V4" s="32"/>
      <c r="W4" s="32"/>
      <c r="X4" s="32"/>
    </row>
    <row r="30" spans="2:12" x14ac:dyDescent="0.35">
      <c r="B30" s="32" t="s">
        <v>87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4ab0b1-c2b2-4176-97a8-81407e73e8b4" xsi:nil="true"/>
    <lcf76f155ced4ddcb4097134ff3c332f xmlns="95c0267b-3552-4afe-8c05-36df44c06c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7DCF69BD41240851EE6AAE1A8CEA0" ma:contentTypeVersion="18" ma:contentTypeDescription="Create a new document." ma:contentTypeScope="" ma:versionID="e5f1eb6a4bf9e9a83e6651849e2e995f">
  <xsd:schema xmlns:xsd="http://www.w3.org/2001/XMLSchema" xmlns:xs="http://www.w3.org/2001/XMLSchema" xmlns:p="http://schemas.microsoft.com/office/2006/metadata/properties" xmlns:ns2="95c0267b-3552-4afe-8c05-36df44c06cc7" xmlns:ns3="9e4ab0b1-c2b2-4176-97a8-81407e73e8b4" targetNamespace="http://schemas.microsoft.com/office/2006/metadata/properties" ma:root="true" ma:fieldsID="243afd69f0afa8bdb2f2d1ce2eab7d88" ns2:_="" ns3:_="">
    <xsd:import namespace="95c0267b-3552-4afe-8c05-36df44c06cc7"/>
    <xsd:import namespace="9e4ab0b1-c2b2-4176-97a8-81407e73e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0267b-3552-4afe-8c05-36df44c06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f277ae-5208-490c-953f-cd9a53c9c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ab0b1-c2b2-4176-97a8-81407e73e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7a66db-7aee-44a8-b1a0-b5fb68134541}" ma:internalName="TaxCatchAll" ma:showField="CatchAllData" ma:web="9e4ab0b1-c2b2-4176-97a8-81407e73e8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369CC1-999F-47EF-A0A2-ED5449C064ED}">
  <ds:schemaRefs>
    <ds:schemaRef ds:uri="http://schemas.microsoft.com/office/2006/metadata/properties"/>
    <ds:schemaRef ds:uri="http://schemas.microsoft.com/office/infopath/2007/PartnerControls"/>
    <ds:schemaRef ds:uri="9e4ab0b1-c2b2-4176-97a8-81407e73e8b4"/>
    <ds:schemaRef ds:uri="95c0267b-3552-4afe-8c05-36df44c06cc7"/>
  </ds:schemaRefs>
</ds:datastoreItem>
</file>

<file path=customXml/itemProps2.xml><?xml version="1.0" encoding="utf-8"?>
<ds:datastoreItem xmlns:ds="http://schemas.openxmlformats.org/officeDocument/2006/customXml" ds:itemID="{4134B028-FB33-4D4A-9AC6-64DE80CDA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c0267b-3552-4afe-8c05-36df44c06cc7"/>
    <ds:schemaRef ds:uri="9e4ab0b1-c2b2-4176-97a8-81407e73e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BFBD8-5837-4AA6-8F53-21649BC4D1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Notes</vt:lpstr>
      <vt:lpstr>Financial Projection</vt:lpstr>
      <vt:lpstr>Debt Profile</vt:lpstr>
      <vt:lpstr>Capital Budget Projection</vt:lpstr>
      <vt:lpstr>Visualizations</vt:lpstr>
      <vt:lpstr>'Financial Projection'!Print_Area</vt:lpstr>
      <vt:lpstr>'Financial Projection'!Print_Titles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Gaughan</dc:creator>
  <cp:lastModifiedBy>Michael Gaughan</cp:lastModifiedBy>
  <dcterms:created xsi:type="dcterms:W3CDTF">2024-02-07T21:48:25Z</dcterms:created>
  <dcterms:modified xsi:type="dcterms:W3CDTF">2024-03-07T16:34:59Z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0x0101004F97DCF69BD41240851EE6AAE1A8CEA0</vt:lpwstr>
  </property>
  <property fmtid="{D5CDD505-2E9C-101B-9397-08002B2CF9AE}" pid="3" name="MediaServiceImageTags">
    <vt:lpwstr/>
  </property>
</Properties>
</file>